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81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8" i="4"/>
  <c r="C1038" i="4"/>
  <c r="D1038" i="4"/>
  <c r="J1038" i="4"/>
  <c r="B1039" i="4"/>
  <c r="H1039" i="4"/>
  <c r="J1039" i="4"/>
  <c r="F1040" i="4"/>
  <c r="H1040" i="4"/>
  <c r="D1041" i="4"/>
  <c r="F1041" i="4"/>
  <c r="B1042" i="4"/>
  <c r="D1042" i="4"/>
  <c r="J1042" i="4"/>
  <c r="B1043" i="4"/>
  <c r="H1043" i="4"/>
  <c r="J1043" i="4"/>
  <c r="F1044" i="4"/>
  <c r="H1044" i="4"/>
  <c r="D1045" i="4"/>
  <c r="F1045" i="4"/>
  <c r="B1046" i="4"/>
  <c r="D1046" i="4"/>
  <c r="J1046" i="4"/>
  <c r="B1047" i="4"/>
  <c r="H1047" i="4"/>
  <c r="F1048" i="4"/>
  <c r="F1049" i="4"/>
  <c r="D1050" i="4"/>
  <c r="J1050" i="4"/>
  <c r="B1051" i="4"/>
  <c r="H1051" i="4"/>
  <c r="J1051" i="4"/>
  <c r="F1052" i="4"/>
  <c r="H1052" i="4"/>
  <c r="F1053" i="4"/>
  <c r="B1054" i="4"/>
  <c r="J1054" i="4"/>
  <c r="J1055" i="4"/>
  <c r="H1056" i="4"/>
  <c r="D1057" i="4"/>
  <c r="F1057" i="4"/>
  <c r="B1058" i="4"/>
  <c r="J1058" i="4"/>
  <c r="B1059" i="4"/>
  <c r="J1059" i="4"/>
  <c r="F1060" i="4"/>
  <c r="D1061" i="4"/>
  <c r="B1063" i="4"/>
  <c r="J1063" i="4"/>
  <c r="F1064" i="4"/>
  <c r="D1065" i="4"/>
  <c r="F1065" i="4"/>
  <c r="D1066" i="4"/>
  <c r="J1066" i="4"/>
  <c r="H1067" i="4"/>
  <c r="F1069" i="4"/>
  <c r="D1070" i="4"/>
  <c r="J1070" i="4"/>
  <c r="H1071" i="4"/>
  <c r="J1071" i="4"/>
  <c r="B1074" i="4"/>
  <c r="H1076" i="4"/>
  <c r="B1078" i="4"/>
  <c r="B1079" i="4"/>
  <c r="H1079" i="4"/>
  <c r="B1083" i="4"/>
  <c r="F1084" i="4"/>
  <c r="H1084" i="4"/>
  <c r="J1086" i="4"/>
  <c r="D1089" i="4"/>
  <c r="H1089" i="4"/>
  <c r="F1090" i="4"/>
  <c r="F1091" i="4"/>
  <c r="H1091" i="4"/>
  <c r="D1093" i="4"/>
  <c r="F1093" i="4"/>
  <c r="B1095" i="4"/>
  <c r="B1096" i="4"/>
  <c r="J1096" i="4"/>
  <c r="J1097" i="4"/>
  <c r="H1098" i="4"/>
  <c r="H1099" i="4"/>
  <c r="F1100" i="4"/>
  <c r="J1100" i="4"/>
  <c r="F1101" i="4"/>
  <c r="D1102" i="4"/>
  <c r="F1102" i="4"/>
  <c r="H1102" i="4"/>
  <c r="D1104" i="4"/>
  <c r="F1104" i="4"/>
  <c r="D1106" i="4"/>
  <c r="H1107" i="4"/>
  <c r="J1107" i="4"/>
  <c r="F1108" i="4"/>
  <c r="F1109" i="4"/>
  <c r="J1110" i="4"/>
  <c r="B1111" i="4"/>
  <c r="H1111" i="4"/>
  <c r="H1112" i="4"/>
  <c r="B1114" i="4"/>
  <c r="D1114" i="4"/>
  <c r="J1114" i="4"/>
  <c r="J1115" i="4"/>
  <c r="D1117" i="4"/>
  <c r="F1117" i="4"/>
  <c r="B1118" i="4"/>
  <c r="B1119" i="4"/>
  <c r="F1120" i="4"/>
  <c r="H1120" i="4"/>
  <c r="D1121" i="4"/>
  <c r="D1122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E1045" i="3"/>
  <c r="B1046" i="3"/>
  <c r="C1046" i="3"/>
  <c r="D1046" i="3"/>
  <c r="E1046" i="3"/>
  <c r="B1047" i="3"/>
  <c r="C1047" i="3"/>
  <c r="E1047" i="3"/>
  <c r="B1048" i="3"/>
  <c r="C1048" i="3"/>
  <c r="D1048" i="3"/>
  <c r="E1048" i="3"/>
  <c r="B1049" i="3"/>
  <c r="C1049" i="3"/>
  <c r="E1049" i="3"/>
  <c r="B1050" i="3"/>
  <c r="C1050" i="3"/>
  <c r="D1050" i="3"/>
  <c r="E1050" i="3"/>
  <c r="B1051" i="3"/>
  <c r="C1051" i="3"/>
  <c r="E1051" i="3"/>
  <c r="B1052" i="3"/>
  <c r="C1052" i="3"/>
  <c r="D1052" i="3"/>
  <c r="E1052" i="3"/>
  <c r="B1053" i="3"/>
  <c r="C1053" i="3"/>
  <c r="E1053" i="3"/>
  <c r="B1054" i="3"/>
  <c r="C1054" i="3"/>
  <c r="D1054" i="3"/>
  <c r="E1054" i="3"/>
  <c r="B1055" i="3"/>
  <c r="C1055" i="3"/>
  <c r="E1055" i="3"/>
  <c r="B1056" i="3"/>
  <c r="C1056" i="3"/>
  <c r="D1056" i="3"/>
  <c r="E1056" i="3"/>
  <c r="B1057" i="3"/>
  <c r="C1057" i="3"/>
  <c r="E1057" i="3"/>
  <c r="B1058" i="3"/>
  <c r="C1058" i="3"/>
  <c r="E1058" i="3"/>
  <c r="B1059" i="3"/>
  <c r="C1059" i="3"/>
  <c r="E1059" i="3"/>
  <c r="A1060" i="3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B1060" i="3"/>
  <c r="C1060" i="3"/>
  <c r="E1060" i="3"/>
  <c r="B1061" i="3"/>
  <c r="C1061" i="3"/>
  <c r="D1061" i="3"/>
  <c r="E1061" i="3"/>
  <c r="B1062" i="3"/>
  <c r="C1062" i="3"/>
  <c r="D1062" i="3"/>
  <c r="E1062" i="3"/>
  <c r="B1063" i="3"/>
  <c r="C1063" i="3"/>
  <c r="D1063" i="3"/>
  <c r="E1063" i="3"/>
  <c r="B1064" i="3"/>
  <c r="C1064" i="3"/>
  <c r="E1064" i="3"/>
  <c r="B1065" i="3"/>
  <c r="C1065" i="3"/>
  <c r="E1065" i="3"/>
  <c r="B1066" i="3"/>
  <c r="C1066" i="3"/>
  <c r="E1066" i="3"/>
  <c r="C1067" i="3"/>
  <c r="E1067" i="3"/>
  <c r="B1068" i="3"/>
  <c r="C1068" i="3"/>
  <c r="E1068" i="3"/>
  <c r="C1069" i="3"/>
  <c r="D1069" i="3"/>
  <c r="E1069" i="3"/>
  <c r="C1070" i="3"/>
  <c r="D1070" i="3"/>
  <c r="E1070" i="3"/>
  <c r="C1071" i="3"/>
  <c r="D1071" i="3"/>
  <c r="E1071" i="3"/>
  <c r="B1072" i="3"/>
  <c r="E1072" i="3"/>
  <c r="E1073" i="3"/>
  <c r="C1074" i="3"/>
  <c r="D1074" i="3"/>
  <c r="E1074" i="3"/>
  <c r="C1075" i="3"/>
  <c r="E1075" i="3"/>
  <c r="E1076" i="3"/>
  <c r="E1077" i="3"/>
  <c r="D1078" i="3"/>
  <c r="E1078" i="3"/>
  <c r="C1079" i="3"/>
  <c r="D1079" i="3"/>
  <c r="E1079" i="3"/>
  <c r="B1080" i="3"/>
  <c r="E1080" i="3"/>
  <c r="E1081" i="3"/>
  <c r="C1082" i="3"/>
  <c r="D1082" i="3"/>
  <c r="E1082" i="3"/>
  <c r="C1083" i="3"/>
  <c r="E1083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B1060" i="2"/>
  <c r="C1060" i="2"/>
  <c r="D1060" i="2"/>
  <c r="E1060" i="2"/>
  <c r="F1060" i="2"/>
  <c r="G1060" i="2"/>
  <c r="H1060" i="2"/>
  <c r="I1060" i="2"/>
  <c r="J1060" i="2"/>
  <c r="A1061" i="2"/>
  <c r="B1061" i="2"/>
  <c r="C1061" i="2"/>
  <c r="D1061" i="2"/>
  <c r="E1061" i="2"/>
  <c r="F1061" i="2"/>
  <c r="G1061" i="2"/>
  <c r="H1061" i="2"/>
  <c r="I1061" i="2"/>
  <c r="J1061" i="2"/>
  <c r="A1062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I17" i="1"/>
  <c r="J17" i="1"/>
  <c r="R17" i="1"/>
  <c r="B18" i="1"/>
  <c r="C18" i="1"/>
  <c r="D18" i="1"/>
  <c r="E18" i="1"/>
  <c r="F18" i="1"/>
  <c r="G18" i="1"/>
  <c r="H18" i="1"/>
  <c r="I18" i="1"/>
  <c r="J18" i="1"/>
  <c r="R18" i="1"/>
  <c r="B19" i="1"/>
  <c r="C19" i="1"/>
  <c r="D19" i="1"/>
  <c r="E19" i="1"/>
  <c r="F19" i="1"/>
  <c r="G19" i="1"/>
  <c r="H19" i="1"/>
  <c r="I19" i="1"/>
  <c r="J19" i="1"/>
  <c r="R19" i="1"/>
  <c r="B20" i="1"/>
  <c r="C20" i="1"/>
  <c r="D20" i="1"/>
  <c r="E20" i="1"/>
  <c r="F20" i="1"/>
  <c r="G20" i="1"/>
  <c r="H20" i="1"/>
  <c r="I20" i="1"/>
  <c r="J20" i="1"/>
  <c r="R20" i="1"/>
  <c r="B21" i="1"/>
  <c r="C21" i="1"/>
  <c r="D21" i="1"/>
  <c r="E21" i="1"/>
  <c r="F21" i="1"/>
  <c r="G21" i="1"/>
  <c r="H21" i="1"/>
  <c r="I21" i="1"/>
  <c r="J21" i="1"/>
  <c r="R21" i="1"/>
  <c r="B22" i="1"/>
  <c r="C22" i="1"/>
  <c r="D22" i="1"/>
  <c r="E22" i="1"/>
  <c r="F22" i="1"/>
  <c r="G22" i="1"/>
  <c r="H22" i="1"/>
  <c r="I22" i="1"/>
  <c r="J22" i="1"/>
  <c r="R22" i="1"/>
  <c r="B23" i="1"/>
  <c r="C23" i="1"/>
  <c r="D23" i="1"/>
  <c r="E23" i="1"/>
  <c r="F23" i="1"/>
  <c r="G23" i="1"/>
  <c r="H23" i="1"/>
  <c r="I23" i="1"/>
  <c r="J23" i="1"/>
  <c r="R23" i="1"/>
  <c r="B24" i="1"/>
  <c r="C24" i="1"/>
  <c r="D24" i="1"/>
  <c r="E24" i="1"/>
  <c r="F24" i="1"/>
  <c r="G24" i="1"/>
  <c r="H24" i="1"/>
  <c r="I24" i="1"/>
  <c r="J24" i="1"/>
  <c r="R24" i="1"/>
  <c r="B25" i="1"/>
  <c r="C25" i="1"/>
  <c r="D25" i="1"/>
  <c r="E25" i="1"/>
  <c r="F25" i="1"/>
  <c r="G25" i="1"/>
  <c r="H25" i="1"/>
  <c r="I25" i="1"/>
  <c r="J25" i="1"/>
  <c r="R25" i="1"/>
  <c r="B26" i="1"/>
  <c r="C26" i="1"/>
  <c r="D26" i="1"/>
  <c r="E26" i="1"/>
  <c r="F26" i="1"/>
  <c r="G26" i="1"/>
  <c r="H26" i="1"/>
  <c r="I26" i="1"/>
  <c r="J26" i="1"/>
  <c r="R26" i="1"/>
  <c r="B27" i="1"/>
  <c r="C27" i="1"/>
  <c r="D27" i="1"/>
  <c r="E27" i="1"/>
  <c r="F27" i="1"/>
  <c r="G27" i="1"/>
  <c r="H27" i="1"/>
  <c r="I27" i="1"/>
  <c r="J27" i="1"/>
  <c r="R27" i="1"/>
  <c r="B28" i="1"/>
  <c r="C28" i="1"/>
  <c r="D28" i="1"/>
  <c r="E28" i="1"/>
  <c r="F28" i="1"/>
  <c r="G28" i="1"/>
  <c r="H28" i="1"/>
  <c r="I28" i="1"/>
  <c r="J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8" i="1"/>
  <c r="C1038" i="1"/>
  <c r="H1038" i="1"/>
  <c r="L1038" i="1"/>
  <c r="M1038" i="1"/>
  <c r="N1038" i="1"/>
  <c r="O1038" i="1"/>
  <c r="P1038" i="1"/>
  <c r="C1039" i="1"/>
  <c r="F1039" i="1"/>
  <c r="H1039" i="1"/>
  <c r="L1039" i="1"/>
  <c r="M1039" i="1"/>
  <c r="N1039" i="1"/>
  <c r="O1039" i="1"/>
  <c r="P1039" i="1"/>
  <c r="Q1039" i="1"/>
  <c r="C1040" i="1"/>
  <c r="G1040" i="1"/>
  <c r="L1040" i="1"/>
  <c r="M1040" i="1"/>
  <c r="N1040" i="1"/>
  <c r="O1040" i="1"/>
  <c r="P1040" i="1"/>
  <c r="Q1040" i="1"/>
  <c r="F1041" i="1"/>
  <c r="G1041" i="1"/>
  <c r="H1041" i="1"/>
  <c r="L1041" i="1"/>
  <c r="M1041" i="1"/>
  <c r="N1041" i="1"/>
  <c r="O1041" i="1"/>
  <c r="P1041" i="1"/>
  <c r="Q1041" i="1"/>
  <c r="B1042" i="1"/>
  <c r="E1042" i="1"/>
  <c r="H1042" i="1"/>
  <c r="L1042" i="1"/>
  <c r="M1042" i="1"/>
  <c r="N1042" i="1"/>
  <c r="O1042" i="1"/>
  <c r="P1042" i="1"/>
  <c r="Q1042" i="1"/>
  <c r="F1043" i="1"/>
  <c r="J1043" i="1"/>
  <c r="L1043" i="1"/>
  <c r="M1043" i="1"/>
  <c r="N1043" i="1"/>
  <c r="O1043" i="1"/>
  <c r="P1043" i="1"/>
  <c r="Q1043" i="1"/>
  <c r="C1044" i="1"/>
  <c r="D1044" i="1"/>
  <c r="G1044" i="1"/>
  <c r="J1044" i="1"/>
  <c r="L1044" i="1"/>
  <c r="M1044" i="1"/>
  <c r="N1044" i="1"/>
  <c r="O1044" i="1"/>
  <c r="P1044" i="1"/>
  <c r="Q1044" i="1"/>
  <c r="C1045" i="1"/>
  <c r="D1045" i="1"/>
  <c r="E1045" i="1"/>
  <c r="H1045" i="1"/>
  <c r="L1045" i="1"/>
  <c r="M1045" i="1"/>
  <c r="N1045" i="1"/>
  <c r="O1045" i="1"/>
  <c r="P1045" i="1"/>
  <c r="Q1045" i="1"/>
  <c r="D1046" i="1"/>
  <c r="E1046" i="1"/>
  <c r="L1046" i="1"/>
  <c r="M1046" i="1"/>
  <c r="N1046" i="1"/>
  <c r="O1046" i="1"/>
  <c r="P1046" i="1"/>
  <c r="Q1046" i="1"/>
  <c r="B1047" i="1"/>
  <c r="J1047" i="1"/>
  <c r="L1047" i="1"/>
  <c r="M1047" i="1"/>
  <c r="N1047" i="1"/>
  <c r="O1047" i="1"/>
  <c r="P1047" i="1"/>
  <c r="Q1047" i="1"/>
  <c r="F1048" i="1"/>
  <c r="G1048" i="1"/>
  <c r="H1048" i="1"/>
  <c r="L1048" i="1"/>
  <c r="M1048" i="1"/>
  <c r="N1048" i="1"/>
  <c r="O1048" i="1"/>
  <c r="P1048" i="1"/>
  <c r="Q1048" i="1"/>
  <c r="D1049" i="1"/>
  <c r="G1049" i="1"/>
  <c r="H1049" i="1"/>
  <c r="I1049" i="1"/>
  <c r="L1049" i="1"/>
  <c r="M1049" i="1"/>
  <c r="N1049" i="1"/>
  <c r="O1049" i="1"/>
  <c r="P1049" i="1"/>
  <c r="Q1049" i="1"/>
  <c r="B1050" i="1"/>
  <c r="E1050" i="1"/>
  <c r="I1050" i="1"/>
  <c r="L1050" i="1"/>
  <c r="M1050" i="1"/>
  <c r="N1050" i="1"/>
  <c r="O1050" i="1"/>
  <c r="P1050" i="1"/>
  <c r="Q1050" i="1"/>
  <c r="B1051" i="1"/>
  <c r="I1051" i="1"/>
  <c r="J1051" i="1"/>
  <c r="L1051" i="1"/>
  <c r="M1051" i="1"/>
  <c r="N1051" i="1"/>
  <c r="O1051" i="1"/>
  <c r="P1051" i="1"/>
  <c r="Q1051" i="1"/>
  <c r="B1052" i="1"/>
  <c r="C1052" i="1"/>
  <c r="D1052" i="1"/>
  <c r="G1052" i="1"/>
  <c r="L1052" i="1"/>
  <c r="M1052" i="1"/>
  <c r="N1052" i="1"/>
  <c r="O1052" i="1"/>
  <c r="P1052" i="1"/>
  <c r="Q1052" i="1"/>
  <c r="C1053" i="1"/>
  <c r="E1053" i="1"/>
  <c r="H1053" i="1"/>
  <c r="L1053" i="1"/>
  <c r="M1053" i="1"/>
  <c r="N1053" i="1"/>
  <c r="O1053" i="1"/>
  <c r="P1053" i="1"/>
  <c r="Q1053" i="1"/>
  <c r="D1054" i="1"/>
  <c r="E1054" i="1"/>
  <c r="F1054" i="1"/>
  <c r="L1054" i="1"/>
  <c r="M1054" i="1"/>
  <c r="N1054" i="1"/>
  <c r="O1054" i="1"/>
  <c r="P1054" i="1"/>
  <c r="Q1054" i="1"/>
  <c r="B1055" i="1"/>
  <c r="G1055" i="1"/>
  <c r="J1055" i="1"/>
  <c r="L1055" i="1"/>
  <c r="M1055" i="1"/>
  <c r="N1055" i="1"/>
  <c r="O1055" i="1"/>
  <c r="P1055" i="1"/>
  <c r="Q1055" i="1"/>
  <c r="C1056" i="1"/>
  <c r="F1056" i="1"/>
  <c r="L1056" i="1"/>
  <c r="M1056" i="1"/>
  <c r="N1056" i="1"/>
  <c r="O1056" i="1"/>
  <c r="P1056" i="1"/>
  <c r="Q1056" i="1"/>
  <c r="G1057" i="1"/>
  <c r="I1057" i="1"/>
  <c r="L1057" i="1"/>
  <c r="M1057" i="1"/>
  <c r="N1057" i="1"/>
  <c r="O1057" i="1"/>
  <c r="P1057" i="1"/>
  <c r="Q1057" i="1"/>
  <c r="I1058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A1060" i="1"/>
  <c r="C1060" i="1"/>
  <c r="H1060" i="1"/>
  <c r="L1060" i="1"/>
  <c r="M1060" i="1"/>
  <c r="N1060" i="1"/>
  <c r="O1060" i="1"/>
  <c r="P1060" i="1"/>
  <c r="Q1060" i="1"/>
  <c r="A1061" i="1"/>
  <c r="I1061" i="1"/>
  <c r="L1061" i="1"/>
  <c r="M1061" i="1"/>
  <c r="N1061" i="1"/>
  <c r="O1061" i="1"/>
  <c r="P1061" i="1"/>
  <c r="Q1061" i="1"/>
  <c r="A1062" i="1"/>
  <c r="A1063" i="1" s="1"/>
  <c r="H1062" i="1"/>
  <c r="L1062" i="1"/>
  <c r="M1062" i="1"/>
  <c r="N1062" i="1"/>
  <c r="O1062" i="1"/>
  <c r="P1062" i="1"/>
  <c r="Q1062" i="1"/>
  <c r="I1063" i="1"/>
  <c r="L1063" i="1"/>
  <c r="M1063" i="1"/>
  <c r="N1063" i="1"/>
  <c r="O1063" i="1"/>
  <c r="P1063" i="1"/>
  <c r="Q1063" i="1"/>
  <c r="A1064" i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F1066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I1077" i="1"/>
  <c r="L1077" i="1"/>
  <c r="M1077" i="1"/>
  <c r="N1077" i="1"/>
  <c r="O1077" i="1"/>
  <c r="P1077" i="1"/>
  <c r="Q1077" i="1"/>
  <c r="C1078" i="1"/>
  <c r="L1078" i="1"/>
  <c r="M1078" i="1"/>
  <c r="N1078" i="1"/>
  <c r="O1078" i="1"/>
  <c r="P1078" i="1"/>
  <c r="Q1078" i="1"/>
  <c r="J1079" i="1"/>
  <c r="L1079" i="1"/>
  <c r="M1079" i="1"/>
  <c r="N1079" i="1"/>
  <c r="O1079" i="1"/>
  <c r="P1079" i="1"/>
  <c r="Q1079" i="1"/>
  <c r="C1080" i="1"/>
  <c r="L1080" i="1"/>
  <c r="M1080" i="1"/>
  <c r="N1080" i="1"/>
  <c r="O1080" i="1"/>
  <c r="P1080" i="1"/>
  <c r="Q1080" i="1"/>
  <c r="B1081" i="1"/>
  <c r="H1081" i="1"/>
  <c r="L1081" i="1"/>
  <c r="M1081" i="1"/>
  <c r="N1081" i="1"/>
  <c r="O1081" i="1"/>
  <c r="P1081" i="1"/>
  <c r="Q1081" i="1"/>
  <c r="L1082" i="1"/>
  <c r="M1082" i="1"/>
  <c r="N1082" i="1"/>
  <c r="O1082" i="1"/>
  <c r="P1082" i="1"/>
  <c r="Q1082" i="1"/>
  <c r="F1083" i="1"/>
  <c r="J1083" i="1"/>
  <c r="L1083" i="1"/>
  <c r="M1083" i="1"/>
  <c r="N1083" i="1"/>
  <c r="O1083" i="1"/>
  <c r="P1083" i="1"/>
  <c r="Q1083" i="1"/>
  <c r="K1101" i="4" l="1"/>
  <c r="K1068" i="4"/>
  <c r="H1058" i="1"/>
  <c r="B1058" i="1"/>
  <c r="H1057" i="1"/>
  <c r="H1056" i="1"/>
  <c r="D1077" i="3"/>
  <c r="D1066" i="3"/>
  <c r="D1058" i="3"/>
  <c r="F1122" i="4"/>
  <c r="H1121" i="4"/>
  <c r="J1120" i="4"/>
  <c r="B1120" i="4"/>
  <c r="F1118" i="4"/>
  <c r="H1117" i="4"/>
  <c r="J1116" i="4"/>
  <c r="B1116" i="4"/>
  <c r="F1114" i="4"/>
  <c r="H1113" i="4"/>
  <c r="J1112" i="4"/>
  <c r="B1112" i="4"/>
  <c r="F1110" i="4"/>
  <c r="H1109" i="4"/>
  <c r="J1108" i="4"/>
  <c r="B1108" i="4"/>
  <c r="I1083" i="1"/>
  <c r="C1081" i="1"/>
  <c r="B1080" i="1"/>
  <c r="J1080" i="1"/>
  <c r="C1079" i="1"/>
  <c r="F1077" i="1"/>
  <c r="H1077" i="1"/>
  <c r="J1076" i="1"/>
  <c r="C1075" i="1"/>
  <c r="I1075" i="1"/>
  <c r="C1074" i="1"/>
  <c r="F1074" i="1"/>
  <c r="H1073" i="1"/>
  <c r="I1073" i="1"/>
  <c r="F1071" i="1"/>
  <c r="I1071" i="1"/>
  <c r="B1070" i="1"/>
  <c r="C1070" i="1"/>
  <c r="I1069" i="1"/>
  <c r="J1069" i="1"/>
  <c r="B1068" i="1"/>
  <c r="F1067" i="1"/>
  <c r="J1067" i="1"/>
  <c r="I1066" i="1"/>
  <c r="H1066" i="1"/>
  <c r="H1064" i="1"/>
  <c r="B1064" i="1"/>
  <c r="H1063" i="1"/>
  <c r="J1063" i="1"/>
  <c r="B1062" i="1"/>
  <c r="I1060" i="1"/>
  <c r="B1060" i="1"/>
  <c r="F1060" i="1"/>
  <c r="E1058" i="1"/>
  <c r="J1058" i="1"/>
  <c r="E1055" i="1"/>
  <c r="F1055" i="1"/>
  <c r="I1054" i="1"/>
  <c r="C1051" i="1"/>
  <c r="F1051" i="1"/>
  <c r="J1050" i="1"/>
  <c r="C1048" i="1"/>
  <c r="G1047" i="1"/>
  <c r="F1047" i="1"/>
  <c r="F1046" i="1"/>
  <c r="C1043" i="1"/>
  <c r="B1043" i="1"/>
  <c r="I1042" i="1"/>
  <c r="J1042" i="1"/>
  <c r="C1076" i="3"/>
  <c r="G1053" i="1"/>
  <c r="E1052" i="1"/>
  <c r="G1051" i="1"/>
  <c r="C1050" i="1"/>
  <c r="D1050" i="1"/>
  <c r="D1048" i="1"/>
  <c r="H1047" i="1"/>
  <c r="I1047" i="1"/>
  <c r="G1045" i="1"/>
  <c r="I1045" i="1"/>
  <c r="E1044" i="1"/>
  <c r="J1122" i="4"/>
  <c r="B1122" i="4"/>
  <c r="H1119" i="4"/>
  <c r="J1118" i="4"/>
  <c r="F1116" i="4"/>
  <c r="H1115" i="4"/>
  <c r="D1113" i="4"/>
  <c r="F1112" i="4"/>
  <c r="B1110" i="4"/>
  <c r="D1109" i="4"/>
  <c r="J1106" i="4"/>
  <c r="B1106" i="4"/>
  <c r="F1105" i="4"/>
  <c r="B1105" i="4"/>
  <c r="H1103" i="4"/>
  <c r="D1103" i="4"/>
  <c r="J1101" i="4"/>
  <c r="B1100" i="4"/>
  <c r="J1099" i="4"/>
  <c r="B1099" i="4"/>
  <c r="B1098" i="4"/>
  <c r="D1097" i="4"/>
  <c r="D1096" i="4"/>
  <c r="F1095" i="4"/>
  <c r="J1095" i="4"/>
  <c r="F1094" i="4"/>
  <c r="B1094" i="4"/>
  <c r="H1093" i="4"/>
  <c r="H1092" i="4"/>
  <c r="D1092" i="4"/>
  <c r="J1090" i="4"/>
  <c r="D1090" i="4"/>
  <c r="H1088" i="4"/>
  <c r="B1086" i="4"/>
  <c r="F1085" i="4"/>
  <c r="H1083" i="4"/>
  <c r="D1082" i="4"/>
  <c r="F1080" i="4"/>
  <c r="D1078" i="4"/>
  <c r="J1075" i="4"/>
  <c r="D1073" i="4"/>
  <c r="H1072" i="4"/>
  <c r="D1077" i="4"/>
  <c r="B1070" i="4"/>
  <c r="D1069" i="4"/>
  <c r="F1068" i="4"/>
  <c r="H1068" i="4"/>
  <c r="J1067" i="4"/>
  <c r="B1067" i="4"/>
  <c r="B1066" i="4"/>
  <c r="H1064" i="4"/>
  <c r="H1063" i="4"/>
  <c r="D1062" i="4"/>
  <c r="J1062" i="4"/>
  <c r="B1062" i="4"/>
  <c r="F1061" i="4"/>
  <c r="H1060" i="4"/>
  <c r="H1059" i="4"/>
  <c r="D1058" i="4"/>
  <c r="F1056" i="4"/>
  <c r="H1055" i="4"/>
  <c r="B1055" i="4"/>
  <c r="D1054" i="4"/>
  <c r="D1053" i="4"/>
  <c r="B1050" i="4"/>
  <c r="D1049" i="4"/>
  <c r="H1048" i="4"/>
  <c r="J1047" i="4"/>
  <c r="G1084" i="1"/>
  <c r="P1084" i="1"/>
  <c r="D1084" i="1"/>
  <c r="M1084" i="1"/>
  <c r="E1084" i="1"/>
  <c r="N1084" i="1"/>
  <c r="L1084" i="1"/>
  <c r="F1084" i="1"/>
  <c r="H1084" i="1"/>
  <c r="J1084" i="1"/>
  <c r="O1084" i="1"/>
  <c r="Q1084" i="1"/>
  <c r="C1084" i="1"/>
  <c r="B1084" i="1"/>
  <c r="I1084" i="1"/>
  <c r="A1085" i="1"/>
  <c r="E1122" i="4"/>
  <c r="G1122" i="4"/>
  <c r="E1121" i="4"/>
  <c r="G1121" i="4"/>
  <c r="E1120" i="4"/>
  <c r="G1120" i="4"/>
  <c r="E1119" i="4"/>
  <c r="G1119" i="4"/>
  <c r="E1118" i="4"/>
  <c r="G1118" i="4"/>
  <c r="E1117" i="4"/>
  <c r="G1117" i="4"/>
  <c r="E1116" i="4"/>
  <c r="G1116" i="4"/>
  <c r="E1115" i="4"/>
  <c r="G1115" i="4"/>
  <c r="E1114" i="4"/>
  <c r="G1114" i="4"/>
  <c r="E1113" i="4"/>
  <c r="G1113" i="4"/>
  <c r="E1112" i="4"/>
  <c r="G1112" i="4"/>
  <c r="E1111" i="4"/>
  <c r="G1111" i="4"/>
  <c r="E1110" i="4"/>
  <c r="G1110" i="4"/>
  <c r="E1109" i="4"/>
  <c r="G1109" i="4"/>
  <c r="E1108" i="4"/>
  <c r="G1108" i="4"/>
  <c r="E1107" i="4"/>
  <c r="G1107" i="4"/>
  <c r="E1106" i="4"/>
  <c r="G1106" i="4"/>
  <c r="E1105" i="4"/>
  <c r="G1105" i="4"/>
  <c r="E1104" i="4"/>
  <c r="G1104" i="4"/>
  <c r="E1103" i="4"/>
  <c r="G1103" i="4"/>
  <c r="E1102" i="4"/>
  <c r="G1102" i="4"/>
  <c r="E1101" i="4"/>
  <c r="G1101" i="4"/>
  <c r="E1100" i="4"/>
  <c r="G1100" i="4"/>
  <c r="C1073" i="1"/>
  <c r="B1083" i="1"/>
  <c r="F1082" i="1"/>
  <c r="J1081" i="1"/>
  <c r="F1080" i="1"/>
  <c r="H1079" i="1"/>
  <c r="I1079" i="1"/>
  <c r="B1079" i="1"/>
  <c r="F1078" i="1"/>
  <c r="J1077" i="1"/>
  <c r="B1077" i="1"/>
  <c r="C1076" i="1"/>
  <c r="F1076" i="1"/>
  <c r="J1075" i="1"/>
  <c r="B1075" i="1"/>
  <c r="J1073" i="1"/>
  <c r="B1073" i="1"/>
  <c r="C1072" i="1"/>
  <c r="F1072" i="1"/>
  <c r="J1071" i="1"/>
  <c r="B1071" i="1"/>
  <c r="F1070" i="1"/>
  <c r="H1069" i="1"/>
  <c r="B1069" i="1"/>
  <c r="F1068" i="1"/>
  <c r="I1067" i="1"/>
  <c r="B1067" i="1"/>
  <c r="C1066" i="1"/>
  <c r="H1065" i="1"/>
  <c r="I1065" i="1"/>
  <c r="J1065" i="1"/>
  <c r="B1065" i="1"/>
  <c r="C1064" i="1"/>
  <c r="F1064" i="1"/>
  <c r="B1063" i="1"/>
  <c r="C1062" i="1"/>
  <c r="F1062" i="1"/>
  <c r="H1061" i="1"/>
  <c r="J1061" i="1"/>
  <c r="B1061" i="1"/>
  <c r="H1059" i="1"/>
  <c r="I1059" i="1"/>
  <c r="J1059" i="1"/>
  <c r="B1059" i="1"/>
  <c r="C1082" i="1"/>
  <c r="I1081" i="1"/>
  <c r="H1071" i="1"/>
  <c r="C1068" i="1"/>
  <c r="C1122" i="4"/>
  <c r="C1121" i="4"/>
  <c r="K1120" i="4"/>
  <c r="K1119" i="4"/>
  <c r="C1118" i="4"/>
  <c r="C1117" i="4"/>
  <c r="C1116" i="4"/>
  <c r="K1115" i="4"/>
  <c r="I1114" i="4"/>
  <c r="C1113" i="4"/>
  <c r="I1112" i="4"/>
  <c r="K1111" i="4"/>
  <c r="I1110" i="4"/>
  <c r="C1109" i="4"/>
  <c r="I1108" i="4"/>
  <c r="C1107" i="4"/>
  <c r="K1106" i="4"/>
  <c r="I1105" i="4"/>
  <c r="C1105" i="4"/>
  <c r="I1104" i="4"/>
  <c r="C1104" i="4"/>
  <c r="K1103" i="4"/>
  <c r="I1102" i="4"/>
  <c r="C1102" i="4"/>
  <c r="I1101" i="4"/>
  <c r="C1101" i="4"/>
  <c r="I1100" i="4"/>
  <c r="K1100" i="4"/>
  <c r="C1100" i="4"/>
  <c r="I1099" i="4"/>
  <c r="K1099" i="4"/>
  <c r="C1099" i="4"/>
  <c r="I1098" i="4"/>
  <c r="K1098" i="4"/>
  <c r="C1098" i="4"/>
  <c r="I1097" i="4"/>
  <c r="K1097" i="4"/>
  <c r="C1097" i="4"/>
  <c r="I1096" i="4"/>
  <c r="K1096" i="4"/>
  <c r="C1096" i="4"/>
  <c r="I1095" i="4"/>
  <c r="K1095" i="4"/>
  <c r="C1095" i="4"/>
  <c r="I1094" i="4"/>
  <c r="K1094" i="4"/>
  <c r="C1094" i="4"/>
  <c r="I1093" i="4"/>
  <c r="K1093" i="4"/>
  <c r="C1093" i="4"/>
  <c r="I1092" i="4"/>
  <c r="K1092" i="4"/>
  <c r="C1092" i="4"/>
  <c r="I1091" i="4"/>
  <c r="K1091" i="4"/>
  <c r="C1091" i="4"/>
  <c r="I1090" i="4"/>
  <c r="K1090" i="4"/>
  <c r="C1090" i="4"/>
  <c r="I1089" i="4"/>
  <c r="K1089" i="4"/>
  <c r="C1089" i="4"/>
  <c r="I1088" i="4"/>
  <c r="K1088" i="4"/>
  <c r="C1088" i="4"/>
  <c r="I1087" i="4"/>
  <c r="K1087" i="4"/>
  <c r="C1087" i="4"/>
  <c r="I1086" i="4"/>
  <c r="K1086" i="4"/>
  <c r="C1086" i="4"/>
  <c r="I1085" i="4"/>
  <c r="K1085" i="4"/>
  <c r="C1085" i="4"/>
  <c r="I1122" i="4"/>
  <c r="I1121" i="4"/>
  <c r="I1120" i="4"/>
  <c r="C1119" i="4"/>
  <c r="I1118" i="4"/>
  <c r="I1117" i="4"/>
  <c r="K1116" i="4"/>
  <c r="I1115" i="4"/>
  <c r="K1114" i="4"/>
  <c r="I1113" i="4"/>
  <c r="K1112" i="4"/>
  <c r="C1111" i="4"/>
  <c r="C1110" i="4"/>
  <c r="I1109" i="4"/>
  <c r="K1108" i="4"/>
  <c r="I1107" i="4"/>
  <c r="E1083" i="1"/>
  <c r="J1082" i="1"/>
  <c r="F1081" i="1"/>
  <c r="H1080" i="1"/>
  <c r="E1079" i="1"/>
  <c r="B1078" i="1"/>
  <c r="E1077" i="1"/>
  <c r="H1076" i="1"/>
  <c r="E1075" i="1"/>
  <c r="J1074" i="1"/>
  <c r="E1073" i="1"/>
  <c r="J1072" i="1"/>
  <c r="D1071" i="1"/>
  <c r="I1070" i="1"/>
  <c r="F1069" i="1"/>
  <c r="J1068" i="1"/>
  <c r="E1067" i="1"/>
  <c r="J1066" i="1"/>
  <c r="B1066" i="1"/>
  <c r="D1065" i="1"/>
  <c r="E1065" i="1"/>
  <c r="F1065" i="1"/>
  <c r="I1064" i="1"/>
  <c r="J1064" i="1"/>
  <c r="F1063" i="1"/>
  <c r="J1062" i="1"/>
  <c r="F1061" i="1"/>
  <c r="J1060" i="1"/>
  <c r="F1059" i="1"/>
  <c r="K1122" i="4"/>
  <c r="K1121" i="4"/>
  <c r="C1120" i="4"/>
  <c r="I1119" i="4"/>
  <c r="K1118" i="4"/>
  <c r="K1117" i="4"/>
  <c r="I1116" i="4"/>
  <c r="C1115" i="4"/>
  <c r="C1114" i="4"/>
  <c r="K1113" i="4"/>
  <c r="C1112" i="4"/>
  <c r="I1111" i="4"/>
  <c r="K1110" i="4"/>
  <c r="K1109" i="4"/>
  <c r="C1108" i="4"/>
  <c r="K1107" i="4"/>
  <c r="I1106" i="4"/>
  <c r="C1106" i="4"/>
  <c r="K1105" i="4"/>
  <c r="K1104" i="4"/>
  <c r="I1103" i="4"/>
  <c r="C1103" i="4"/>
  <c r="K1102" i="4"/>
  <c r="C1083" i="1"/>
  <c r="D1083" i="1"/>
  <c r="H1082" i="1"/>
  <c r="I1082" i="1"/>
  <c r="B1082" i="1"/>
  <c r="D1081" i="1"/>
  <c r="E1081" i="1"/>
  <c r="I1080" i="1"/>
  <c r="D1079" i="1"/>
  <c r="F1079" i="1"/>
  <c r="H1078" i="1"/>
  <c r="I1078" i="1"/>
  <c r="J1078" i="1"/>
  <c r="D1077" i="1"/>
  <c r="I1076" i="1"/>
  <c r="B1076" i="1"/>
  <c r="D1075" i="1"/>
  <c r="F1075" i="1"/>
  <c r="H1074" i="1"/>
  <c r="I1074" i="1"/>
  <c r="B1074" i="1"/>
  <c r="D1073" i="1"/>
  <c r="F1073" i="1"/>
  <c r="H1072" i="1"/>
  <c r="I1072" i="1"/>
  <c r="B1072" i="1"/>
  <c r="E1071" i="1"/>
  <c r="H1070" i="1"/>
  <c r="J1070" i="1"/>
  <c r="D1069" i="1"/>
  <c r="E1069" i="1"/>
  <c r="H1068" i="1"/>
  <c r="I1068" i="1"/>
  <c r="D1067" i="1"/>
  <c r="E1099" i="4"/>
  <c r="G1099" i="4"/>
  <c r="E1098" i="4"/>
  <c r="G1098" i="4"/>
  <c r="E1097" i="4"/>
  <c r="G1097" i="4"/>
  <c r="E1096" i="4"/>
  <c r="G1096" i="4"/>
  <c r="E1095" i="4"/>
  <c r="G1095" i="4"/>
  <c r="E1094" i="4"/>
  <c r="G1094" i="4"/>
  <c r="E1093" i="4"/>
  <c r="G1093" i="4"/>
  <c r="E1092" i="4"/>
  <c r="G1092" i="4"/>
  <c r="E1091" i="4"/>
  <c r="G1091" i="4"/>
  <c r="E1090" i="4"/>
  <c r="G1090" i="4"/>
  <c r="E1089" i="4"/>
  <c r="G1089" i="4"/>
  <c r="E1088" i="4"/>
  <c r="G1088" i="4"/>
  <c r="E1087" i="4"/>
  <c r="G1087" i="4"/>
  <c r="E1086" i="4"/>
  <c r="G1086" i="4"/>
  <c r="E1085" i="4"/>
  <c r="G1085" i="4"/>
  <c r="E1084" i="4"/>
  <c r="G1084" i="4"/>
  <c r="E1083" i="4"/>
  <c r="G1083" i="4"/>
  <c r="E1082" i="4"/>
  <c r="G1082" i="4"/>
  <c r="E1081" i="4"/>
  <c r="G1081" i="4"/>
  <c r="E1080" i="4"/>
  <c r="G1080" i="4"/>
  <c r="E1079" i="4"/>
  <c r="G1079" i="4"/>
  <c r="E1078" i="4"/>
  <c r="G1078" i="4"/>
  <c r="E1076" i="4"/>
  <c r="G1076" i="4"/>
  <c r="E1075" i="4"/>
  <c r="G1075" i="4"/>
  <c r="E1074" i="4"/>
  <c r="G1074" i="4"/>
  <c r="E1073" i="4"/>
  <c r="G1073" i="4"/>
  <c r="E1072" i="4"/>
  <c r="G1072" i="4"/>
  <c r="E1071" i="4"/>
  <c r="G1071" i="4"/>
  <c r="E1070" i="4"/>
  <c r="G1070" i="4"/>
  <c r="E1069" i="4"/>
  <c r="G1069" i="4"/>
  <c r="E1068" i="4"/>
  <c r="G1068" i="4"/>
  <c r="E1067" i="4"/>
  <c r="G1067" i="4"/>
  <c r="E1066" i="4"/>
  <c r="G1066" i="4"/>
  <c r="E1065" i="4"/>
  <c r="G1065" i="4"/>
  <c r="E1064" i="4"/>
  <c r="G1064" i="4"/>
  <c r="E1063" i="4"/>
  <c r="G1063" i="4"/>
  <c r="E1062" i="4"/>
  <c r="G1062" i="4"/>
  <c r="E1061" i="4"/>
  <c r="G1061" i="4"/>
  <c r="E1060" i="4"/>
  <c r="G1060" i="4"/>
  <c r="E1059" i="4"/>
  <c r="G1059" i="4"/>
  <c r="E1058" i="4"/>
  <c r="G1058" i="4"/>
  <c r="E1057" i="4"/>
  <c r="G1057" i="4"/>
  <c r="E1056" i="4"/>
  <c r="G1056" i="4"/>
  <c r="E1055" i="4"/>
  <c r="G1055" i="4"/>
  <c r="E1054" i="4"/>
  <c r="G1054" i="4"/>
  <c r="E1053" i="4"/>
  <c r="G1053" i="4"/>
  <c r="E1052" i="4"/>
  <c r="G1052" i="4"/>
  <c r="E1051" i="4"/>
  <c r="G1051" i="4"/>
  <c r="E1050" i="4"/>
  <c r="G1050" i="4"/>
  <c r="E1049" i="4"/>
  <c r="G1049" i="4"/>
  <c r="E1048" i="4"/>
  <c r="G1048" i="4"/>
  <c r="E1047" i="4"/>
  <c r="G1047" i="4"/>
  <c r="E1046" i="4"/>
  <c r="G1046" i="4"/>
  <c r="E1045" i="4"/>
  <c r="G1045" i="4"/>
  <c r="E1044" i="4"/>
  <c r="G1044" i="4"/>
  <c r="E1043" i="4"/>
  <c r="G1043" i="4"/>
  <c r="E1042" i="4"/>
  <c r="G1042" i="4"/>
  <c r="E1041" i="4"/>
  <c r="G1041" i="4"/>
  <c r="E1040" i="4"/>
  <c r="G1040" i="4"/>
  <c r="E1039" i="4"/>
  <c r="G1039" i="4"/>
  <c r="E1038" i="4"/>
  <c r="E1077" i="4"/>
  <c r="G1077" i="4"/>
  <c r="G1038" i="4"/>
  <c r="G1082" i="1"/>
  <c r="G1080" i="1"/>
  <c r="G1078" i="1"/>
  <c r="C1077" i="1"/>
  <c r="G1076" i="1"/>
  <c r="G1074" i="1"/>
  <c r="G1072" i="1"/>
  <c r="C1071" i="1"/>
  <c r="G1070" i="1"/>
  <c r="C1069" i="1"/>
  <c r="G1068" i="1"/>
  <c r="C1067" i="1"/>
  <c r="G1066" i="1"/>
  <c r="C1065" i="1"/>
  <c r="G1064" i="1"/>
  <c r="C1063" i="1"/>
  <c r="G1062" i="1"/>
  <c r="C1061" i="1"/>
  <c r="G1060" i="1"/>
  <c r="C1059" i="1"/>
  <c r="G1058" i="1"/>
  <c r="C1057" i="1"/>
  <c r="G1056" i="1"/>
  <c r="C1055" i="1"/>
  <c r="G1054" i="1"/>
  <c r="D1084" i="3"/>
  <c r="E1084" i="3"/>
  <c r="B1084" i="3"/>
  <c r="C1084" i="3"/>
  <c r="A1085" i="3"/>
  <c r="K1084" i="4"/>
  <c r="K1083" i="4"/>
  <c r="I1082" i="4"/>
  <c r="C1081" i="4"/>
  <c r="K1080" i="4"/>
  <c r="K1079" i="4"/>
  <c r="I1078" i="4"/>
  <c r="C1076" i="4"/>
  <c r="K1075" i="4"/>
  <c r="K1074" i="4"/>
  <c r="I1073" i="4"/>
  <c r="C1072" i="4"/>
  <c r="C1071" i="4"/>
  <c r="K1070" i="4"/>
  <c r="K1069" i="4"/>
  <c r="I1068" i="4"/>
  <c r="G1083" i="1"/>
  <c r="H1083" i="1"/>
  <c r="D1082" i="1"/>
  <c r="E1082" i="1"/>
  <c r="G1081" i="1"/>
  <c r="D1080" i="1"/>
  <c r="E1080" i="1"/>
  <c r="G1079" i="1"/>
  <c r="D1078" i="1"/>
  <c r="E1078" i="1"/>
  <c r="G1077" i="1"/>
  <c r="D1076" i="1"/>
  <c r="E1076" i="1"/>
  <c r="G1075" i="1"/>
  <c r="H1075" i="1"/>
  <c r="D1074" i="1"/>
  <c r="E1074" i="1"/>
  <c r="G1073" i="1"/>
  <c r="D1072" i="1"/>
  <c r="E1072" i="1"/>
  <c r="G1071" i="1"/>
  <c r="D1070" i="1"/>
  <c r="E1070" i="1"/>
  <c r="G1069" i="1"/>
  <c r="D1068" i="1"/>
  <c r="E1068" i="1"/>
  <c r="G1067" i="1"/>
  <c r="H1067" i="1"/>
  <c r="D1066" i="1"/>
  <c r="E1066" i="1"/>
  <c r="G1065" i="1"/>
  <c r="D1064" i="1"/>
  <c r="E1064" i="1"/>
  <c r="G1063" i="1"/>
  <c r="D1062" i="1"/>
  <c r="E1062" i="1"/>
  <c r="G1061" i="1"/>
  <c r="D1060" i="1"/>
  <c r="E1060" i="1"/>
  <c r="G1059" i="1"/>
  <c r="C1058" i="1"/>
  <c r="D1058" i="1"/>
  <c r="D1056" i="1"/>
  <c r="H1055" i="1"/>
  <c r="I1055" i="1"/>
  <c r="I1053" i="1"/>
  <c r="I1084" i="4"/>
  <c r="C1083" i="4"/>
  <c r="K1082" i="4"/>
  <c r="I1081" i="4"/>
  <c r="I1080" i="4"/>
  <c r="I1079" i="4"/>
  <c r="K1078" i="4"/>
  <c r="I1076" i="4"/>
  <c r="I1075" i="4"/>
  <c r="C1074" i="4"/>
  <c r="C1073" i="4"/>
  <c r="I1072" i="4"/>
  <c r="K1071" i="4"/>
  <c r="I1070" i="4"/>
  <c r="I1069" i="4"/>
  <c r="C1084" i="4"/>
  <c r="I1083" i="4"/>
  <c r="C1082" i="4"/>
  <c r="K1081" i="4"/>
  <c r="C1080" i="4"/>
  <c r="C1079" i="4"/>
  <c r="C1078" i="4"/>
  <c r="K1076" i="4"/>
  <c r="C1075" i="4"/>
  <c r="I1074" i="4"/>
  <c r="K1073" i="4"/>
  <c r="K1072" i="4"/>
  <c r="I1071" i="4"/>
  <c r="C1070" i="4"/>
  <c r="C1069" i="4"/>
  <c r="C1068" i="4"/>
  <c r="F1058" i="1"/>
  <c r="J1057" i="1"/>
  <c r="B1057" i="1"/>
  <c r="E1056" i="1"/>
  <c r="C1054" i="1"/>
  <c r="J1053" i="1"/>
  <c r="B1053" i="1"/>
  <c r="F1052" i="1"/>
  <c r="H1051" i="1"/>
  <c r="F1050" i="1"/>
  <c r="J1049" i="1"/>
  <c r="B1049" i="1"/>
  <c r="E1048" i="1"/>
  <c r="C1046" i="1"/>
  <c r="J1045" i="1"/>
  <c r="B1045" i="1"/>
  <c r="F1044" i="1"/>
  <c r="H1043" i="1"/>
  <c r="I1043" i="1"/>
  <c r="C1042" i="1"/>
  <c r="F1042" i="1"/>
  <c r="J1041" i="1"/>
  <c r="B1041" i="1"/>
  <c r="D1040" i="1"/>
  <c r="E1040" i="1"/>
  <c r="F1040" i="1"/>
  <c r="D1039" i="1"/>
  <c r="D1038" i="1"/>
  <c r="F1038" i="1"/>
  <c r="K1067" i="4"/>
  <c r="C1066" i="4"/>
  <c r="C1065" i="4"/>
  <c r="I1064" i="4"/>
  <c r="K1064" i="4"/>
  <c r="C1064" i="4"/>
  <c r="I1063" i="4"/>
  <c r="K1063" i="4"/>
  <c r="C1063" i="4"/>
  <c r="I1062" i="4"/>
  <c r="K1062" i="4"/>
  <c r="C1062" i="4"/>
  <c r="I1061" i="4"/>
  <c r="K1061" i="4"/>
  <c r="C1061" i="4"/>
  <c r="I1060" i="4"/>
  <c r="K1060" i="4"/>
  <c r="C1060" i="4"/>
  <c r="I1059" i="4"/>
  <c r="K1059" i="4"/>
  <c r="C1059" i="4"/>
  <c r="I1058" i="4"/>
  <c r="K1058" i="4"/>
  <c r="C1058" i="4"/>
  <c r="I1057" i="4"/>
  <c r="K1057" i="4"/>
  <c r="C1057" i="4"/>
  <c r="I1056" i="4"/>
  <c r="K1056" i="4"/>
  <c r="C1056" i="4"/>
  <c r="I1055" i="4"/>
  <c r="K1055" i="4"/>
  <c r="C1055" i="4"/>
  <c r="I1054" i="4"/>
  <c r="K1054" i="4"/>
  <c r="C1054" i="4"/>
  <c r="I1053" i="4"/>
  <c r="K1053" i="4"/>
  <c r="C1053" i="4"/>
  <c r="I1052" i="4"/>
  <c r="K1052" i="4"/>
  <c r="C1052" i="4"/>
  <c r="I1051" i="4"/>
  <c r="K1051" i="4"/>
  <c r="C1051" i="4"/>
  <c r="I1050" i="4"/>
  <c r="K1050" i="4"/>
  <c r="C1050" i="4"/>
  <c r="I1049" i="4"/>
  <c r="K1049" i="4"/>
  <c r="C1049" i="4"/>
  <c r="I1048" i="4"/>
  <c r="K1048" i="4"/>
  <c r="C1048" i="4"/>
  <c r="I1047" i="4"/>
  <c r="K1047" i="4"/>
  <c r="C1047" i="4"/>
  <c r="I1046" i="4"/>
  <c r="K1046" i="4"/>
  <c r="C1046" i="4"/>
  <c r="I1045" i="4"/>
  <c r="K1045" i="4"/>
  <c r="C1045" i="4"/>
  <c r="I1044" i="4"/>
  <c r="K1044" i="4"/>
  <c r="C1044" i="4"/>
  <c r="I1043" i="4"/>
  <c r="K1043" i="4"/>
  <c r="C1043" i="4"/>
  <c r="I1042" i="4"/>
  <c r="K1042" i="4"/>
  <c r="C1042" i="4"/>
  <c r="I1041" i="4"/>
  <c r="K1041" i="4"/>
  <c r="C1041" i="4"/>
  <c r="I1040" i="4"/>
  <c r="K1040" i="4"/>
  <c r="C1040" i="4"/>
  <c r="I1039" i="4"/>
  <c r="K1039" i="4"/>
  <c r="C1039" i="4"/>
  <c r="I1077" i="4"/>
  <c r="I1038" i="4"/>
  <c r="K1038" i="4"/>
  <c r="K1077" i="4"/>
  <c r="C1077" i="4"/>
  <c r="I1067" i="4"/>
  <c r="K1066" i="4"/>
  <c r="K1065" i="4"/>
  <c r="C1067" i="4"/>
  <c r="I1066" i="4"/>
  <c r="I1065" i="4"/>
  <c r="D1063" i="1"/>
  <c r="E1063" i="1"/>
  <c r="I1062" i="1"/>
  <c r="D1061" i="1"/>
  <c r="E1061" i="1"/>
  <c r="D1059" i="1"/>
  <c r="E1059" i="1"/>
  <c r="D1057" i="1"/>
  <c r="E1057" i="1"/>
  <c r="F1057" i="1"/>
  <c r="I1056" i="1"/>
  <c r="J1056" i="1"/>
  <c r="B1056" i="1"/>
  <c r="D1055" i="1"/>
  <c r="H1054" i="1"/>
  <c r="J1054" i="1"/>
  <c r="B1054" i="1"/>
  <c r="D1053" i="1"/>
  <c r="F1053" i="1"/>
  <c r="H1052" i="1"/>
  <c r="I1052" i="1"/>
  <c r="J1052" i="1"/>
  <c r="D1051" i="1"/>
  <c r="E1051" i="1"/>
  <c r="H1050" i="1"/>
  <c r="E1049" i="1"/>
  <c r="F1049" i="1"/>
  <c r="I1048" i="1"/>
  <c r="J1048" i="1"/>
  <c r="B1048" i="1"/>
  <c r="D1047" i="1"/>
  <c r="E1047" i="1"/>
  <c r="H1046" i="1"/>
  <c r="I1046" i="1"/>
  <c r="J1046" i="1"/>
  <c r="B1046" i="1"/>
  <c r="F1045" i="1"/>
  <c r="H1044" i="1"/>
  <c r="I1044" i="1"/>
  <c r="B1044" i="1"/>
  <c r="D1043" i="1"/>
  <c r="E1043" i="1"/>
  <c r="D1041" i="1"/>
  <c r="E1041" i="1"/>
  <c r="H1040" i="1"/>
  <c r="I1040" i="1"/>
  <c r="J1040" i="1"/>
  <c r="B1040" i="1"/>
  <c r="J1039" i="1"/>
  <c r="B1039" i="1"/>
  <c r="J1038" i="1"/>
  <c r="B1062" i="2"/>
  <c r="A1063" i="2"/>
  <c r="G1043" i="1"/>
  <c r="D1042" i="1"/>
  <c r="G1050" i="1"/>
  <c r="C1049" i="1"/>
  <c r="C1047" i="1"/>
  <c r="G1046" i="1"/>
  <c r="G1042" i="1"/>
  <c r="C1041" i="1"/>
  <c r="E1039" i="1"/>
  <c r="G1039" i="1"/>
  <c r="G1038" i="1"/>
  <c r="I1041" i="1"/>
  <c r="I1039" i="1"/>
  <c r="R1038" i="1"/>
  <c r="E1038" i="1"/>
  <c r="B1083" i="3"/>
  <c r="B1082" i="3"/>
  <c r="B1081" i="3"/>
  <c r="B1079" i="3"/>
  <c r="B1078" i="3"/>
  <c r="B1077" i="3"/>
  <c r="B1076" i="3"/>
  <c r="B1075" i="3"/>
  <c r="B1074" i="3"/>
  <c r="B1073" i="3"/>
  <c r="B1071" i="3"/>
  <c r="B1070" i="3"/>
  <c r="B1069" i="3"/>
  <c r="B1067" i="3"/>
  <c r="D1083" i="3"/>
  <c r="D1081" i="3"/>
  <c r="D1080" i="3"/>
  <c r="D1076" i="3"/>
  <c r="D1075" i="3"/>
  <c r="D1073" i="3"/>
  <c r="D1072" i="3"/>
  <c r="D1068" i="3"/>
  <c r="D1067" i="3"/>
  <c r="D1065" i="3"/>
  <c r="D1064" i="3"/>
  <c r="D1060" i="3"/>
  <c r="D1059" i="3"/>
  <c r="D1057" i="3"/>
  <c r="D1055" i="3"/>
  <c r="D1053" i="3"/>
  <c r="D1051" i="3"/>
  <c r="D1049" i="3"/>
  <c r="D1047" i="3"/>
  <c r="D1045" i="3"/>
  <c r="C1081" i="3"/>
  <c r="C1080" i="3"/>
  <c r="C1078" i="3"/>
  <c r="C1077" i="3"/>
  <c r="C1073" i="3"/>
  <c r="C1072" i="3"/>
  <c r="H1122" i="4"/>
  <c r="F1121" i="4"/>
  <c r="J1121" i="4"/>
  <c r="B1121" i="4"/>
  <c r="D1120" i="4"/>
  <c r="F1119" i="4"/>
  <c r="J1119" i="4"/>
  <c r="D1119" i="4"/>
  <c r="H1118" i="4"/>
  <c r="D1118" i="4"/>
  <c r="J1117" i="4"/>
  <c r="B1117" i="4"/>
  <c r="H1116" i="4"/>
  <c r="D1116" i="4"/>
  <c r="F1115" i="4"/>
  <c r="B1115" i="4"/>
  <c r="D1115" i="4"/>
  <c r="H1114" i="4"/>
  <c r="F1113" i="4"/>
  <c r="J1113" i="4"/>
  <c r="B1113" i="4"/>
  <c r="D1112" i="4"/>
  <c r="F1111" i="4"/>
  <c r="J1111" i="4"/>
  <c r="D1111" i="4"/>
  <c r="H1110" i="4"/>
  <c r="D1110" i="4"/>
  <c r="J1109" i="4"/>
  <c r="B1109" i="4"/>
  <c r="H1108" i="4"/>
  <c r="D1108" i="4"/>
  <c r="F1107" i="4"/>
  <c r="B1107" i="4"/>
  <c r="D1107" i="4"/>
  <c r="F1106" i="4"/>
  <c r="H1106" i="4"/>
  <c r="H1105" i="4"/>
  <c r="J1105" i="4"/>
  <c r="D1105" i="4"/>
  <c r="H1104" i="4"/>
  <c r="J1104" i="4"/>
  <c r="B1104" i="4"/>
  <c r="F1103" i="4"/>
  <c r="J1103" i="4"/>
  <c r="B1103" i="4"/>
  <c r="J1102" i="4"/>
  <c r="B1102" i="4"/>
  <c r="H1101" i="4"/>
  <c r="B1101" i="4"/>
  <c r="D1101" i="4"/>
  <c r="H1100" i="4"/>
  <c r="D1100" i="4"/>
  <c r="F1099" i="4"/>
  <c r="D1099" i="4"/>
  <c r="F1098" i="4"/>
  <c r="J1098" i="4"/>
  <c r="D1098" i="4"/>
  <c r="F1097" i="4"/>
  <c r="H1097" i="4"/>
  <c r="B1097" i="4"/>
  <c r="F1096" i="4"/>
  <c r="H1096" i="4"/>
  <c r="H1095" i="4"/>
  <c r="D1095" i="4"/>
  <c r="H1094" i="4"/>
  <c r="J1094" i="4"/>
  <c r="D1094" i="4"/>
  <c r="J1093" i="4"/>
  <c r="B1093" i="4"/>
  <c r="F1092" i="4"/>
  <c r="J1092" i="4"/>
  <c r="B1092" i="4"/>
  <c r="J1091" i="4"/>
  <c r="B1091" i="4"/>
  <c r="D1091" i="4"/>
  <c r="H1090" i="4"/>
  <c r="B1090" i="4"/>
  <c r="F1089" i="4"/>
  <c r="J1089" i="4"/>
  <c r="B1089" i="4"/>
  <c r="F1088" i="4"/>
  <c r="J1088" i="4"/>
  <c r="B1088" i="4"/>
  <c r="D1088" i="4"/>
  <c r="F1087" i="4"/>
  <c r="H1087" i="4"/>
  <c r="J1087" i="4"/>
  <c r="B1087" i="4"/>
  <c r="D1087" i="4"/>
  <c r="F1086" i="4"/>
  <c r="H1086" i="4"/>
  <c r="D1086" i="4"/>
  <c r="H1085" i="4"/>
  <c r="J1085" i="4"/>
  <c r="B1085" i="4"/>
  <c r="D1085" i="4"/>
  <c r="J1084" i="4"/>
  <c r="B1084" i="4"/>
  <c r="D1084" i="4"/>
  <c r="F1083" i="4"/>
  <c r="J1083" i="4"/>
  <c r="D1083" i="4"/>
  <c r="F1082" i="4"/>
  <c r="H1082" i="4"/>
  <c r="J1082" i="4"/>
  <c r="B1082" i="4"/>
  <c r="F1081" i="4"/>
  <c r="H1081" i="4"/>
  <c r="J1081" i="4"/>
  <c r="B1081" i="4"/>
  <c r="D1081" i="4"/>
  <c r="H1080" i="4"/>
  <c r="J1080" i="4"/>
  <c r="B1080" i="4"/>
  <c r="D1080" i="4"/>
  <c r="F1079" i="4"/>
  <c r="J1079" i="4"/>
  <c r="D1079" i="4"/>
  <c r="F1078" i="4"/>
  <c r="H1078" i="4"/>
  <c r="J1078" i="4"/>
  <c r="F1076" i="4"/>
  <c r="J1076" i="4"/>
  <c r="B1076" i="4"/>
  <c r="D1076" i="4"/>
  <c r="F1075" i="4"/>
  <c r="H1075" i="4"/>
  <c r="B1075" i="4"/>
  <c r="D1075" i="4"/>
  <c r="F1074" i="4"/>
  <c r="H1074" i="4"/>
  <c r="J1074" i="4"/>
  <c r="D1074" i="4"/>
  <c r="F1073" i="4"/>
  <c r="H1073" i="4"/>
  <c r="J1073" i="4"/>
  <c r="B1073" i="4"/>
  <c r="F1072" i="4"/>
  <c r="J1072" i="4"/>
  <c r="B1072" i="4"/>
  <c r="D1072" i="4"/>
  <c r="B1071" i="4"/>
  <c r="F1077" i="4"/>
  <c r="F1071" i="4"/>
  <c r="D1071" i="4"/>
  <c r="F1070" i="4"/>
  <c r="H1070" i="4"/>
  <c r="H1069" i="4"/>
  <c r="J1069" i="4"/>
  <c r="B1069" i="4"/>
  <c r="J1068" i="4"/>
  <c r="B1068" i="4"/>
  <c r="D1068" i="4"/>
  <c r="F1067" i="4"/>
  <c r="D1067" i="4"/>
  <c r="F1066" i="4"/>
  <c r="H1066" i="4"/>
  <c r="H1065" i="4"/>
  <c r="J1065" i="4"/>
  <c r="B1065" i="4"/>
  <c r="J1064" i="4"/>
  <c r="B1064" i="4"/>
  <c r="D1064" i="4"/>
  <c r="F1063" i="4"/>
  <c r="D1063" i="4"/>
  <c r="F1062" i="4"/>
  <c r="H1062" i="4"/>
  <c r="H1061" i="4"/>
  <c r="J1061" i="4"/>
  <c r="B1061" i="4"/>
  <c r="J1060" i="4"/>
  <c r="B1060" i="4"/>
  <c r="D1060" i="4"/>
  <c r="F1059" i="4"/>
  <c r="D1059" i="4"/>
  <c r="F1058" i="4"/>
  <c r="H1058" i="4"/>
  <c r="H1057" i="4"/>
  <c r="J1057" i="4"/>
  <c r="B1057" i="4"/>
  <c r="J1056" i="4"/>
  <c r="B1056" i="4"/>
  <c r="D1056" i="4"/>
  <c r="F1055" i="4"/>
  <c r="D1055" i="4"/>
  <c r="F1054" i="4"/>
  <c r="H1054" i="4"/>
  <c r="H1053" i="4"/>
  <c r="J1053" i="4"/>
  <c r="B1053" i="4"/>
  <c r="J1052" i="4"/>
  <c r="B1052" i="4"/>
  <c r="D1052" i="4"/>
  <c r="F1051" i="4"/>
  <c r="D1051" i="4"/>
  <c r="F1050" i="4"/>
  <c r="H1050" i="4"/>
  <c r="H1049" i="4"/>
  <c r="J1049" i="4"/>
  <c r="B1049" i="4"/>
  <c r="J1048" i="4"/>
  <c r="B1048" i="4"/>
  <c r="D1048" i="4"/>
  <c r="F1047" i="4"/>
  <c r="D1047" i="4"/>
  <c r="F1046" i="4"/>
  <c r="H1046" i="4"/>
  <c r="H1045" i="4"/>
  <c r="J1045" i="4"/>
  <c r="B1045" i="4"/>
  <c r="J1044" i="4"/>
  <c r="B1044" i="4"/>
  <c r="D1044" i="4"/>
  <c r="F1043" i="4"/>
  <c r="D1043" i="4"/>
  <c r="F1042" i="4"/>
  <c r="H1042" i="4"/>
  <c r="H1041" i="4"/>
  <c r="J1041" i="4"/>
  <c r="B1041" i="4"/>
  <c r="J1040" i="4"/>
  <c r="B1040" i="4"/>
  <c r="D1040" i="4"/>
  <c r="F1039" i="4"/>
  <c r="D1039" i="4"/>
  <c r="F1038" i="4"/>
  <c r="H1038" i="4"/>
  <c r="H1077" i="4"/>
  <c r="J1077" i="4"/>
  <c r="B1077" i="4"/>
  <c r="B1085" i="3" l="1"/>
  <c r="C1085" i="3"/>
  <c r="D1085" i="3"/>
  <c r="E1085" i="3"/>
  <c r="A1086" i="3"/>
  <c r="G1085" i="1"/>
  <c r="P1085" i="1"/>
  <c r="D1085" i="1"/>
  <c r="M1085" i="1"/>
  <c r="E1085" i="1"/>
  <c r="N1085" i="1"/>
  <c r="I1085" i="1"/>
  <c r="C1085" i="1"/>
  <c r="F1085" i="1"/>
  <c r="O1085" i="1"/>
  <c r="Q1085" i="1"/>
  <c r="A1086" i="1"/>
  <c r="J1085" i="1"/>
  <c r="B1085" i="1"/>
  <c r="H1085" i="1"/>
  <c r="L1085" i="1"/>
  <c r="B1063" i="2"/>
  <c r="A1064" i="2"/>
  <c r="A1065" i="2" l="1"/>
  <c r="B1064" i="2"/>
  <c r="E1086" i="3"/>
  <c r="A1087" i="3"/>
  <c r="B1086" i="3"/>
  <c r="C1086" i="3"/>
  <c r="D1086" i="3"/>
  <c r="G1086" i="1"/>
  <c r="P1086" i="1"/>
  <c r="D1086" i="1"/>
  <c r="M1086" i="1"/>
  <c r="E1086" i="1"/>
  <c r="N1086" i="1"/>
  <c r="F1086" i="1"/>
  <c r="B1086" i="1"/>
  <c r="A1087" i="1"/>
  <c r="C1086" i="1"/>
  <c r="Q1086" i="1"/>
  <c r="L1086" i="1"/>
  <c r="H1086" i="1"/>
  <c r="J1086" i="1"/>
  <c r="I1086" i="1"/>
  <c r="O1086" i="1"/>
  <c r="G1087" i="1" l="1"/>
  <c r="P1087" i="1"/>
  <c r="D1087" i="1"/>
  <c r="M1087" i="1"/>
  <c r="E1087" i="1"/>
  <c r="N1087" i="1"/>
  <c r="B1087" i="1"/>
  <c r="Q1087" i="1"/>
  <c r="A1088" i="1"/>
  <c r="C1087" i="1"/>
  <c r="H1087" i="1"/>
  <c r="F1087" i="1"/>
  <c r="O1087" i="1"/>
  <c r="J1087" i="1"/>
  <c r="L1087" i="1"/>
  <c r="I1087" i="1"/>
  <c r="E1087" i="3"/>
  <c r="A1088" i="3"/>
  <c r="B1087" i="3"/>
  <c r="C1087" i="3"/>
  <c r="D1087" i="3"/>
  <c r="B1065" i="2"/>
  <c r="A1066" i="2"/>
  <c r="B1066" i="2" l="1"/>
  <c r="A1067" i="2"/>
  <c r="C1088" i="3"/>
  <c r="D1088" i="3"/>
  <c r="E1088" i="3"/>
  <c r="A1089" i="3"/>
  <c r="B1088" i="3"/>
  <c r="G1088" i="1"/>
  <c r="P1088" i="1"/>
  <c r="D1088" i="1"/>
  <c r="M1088" i="1"/>
  <c r="E1088" i="1"/>
  <c r="N1088" i="1"/>
  <c r="L1088" i="1"/>
  <c r="Q1088" i="1"/>
  <c r="B1088" i="1"/>
  <c r="A1089" i="1"/>
  <c r="F1088" i="1"/>
  <c r="H1088" i="1"/>
  <c r="I1088" i="1"/>
  <c r="J1088" i="1"/>
  <c r="C1088" i="1"/>
  <c r="O1088" i="1"/>
  <c r="A1090" i="3" l="1"/>
  <c r="C1089" i="3"/>
  <c r="D1089" i="3"/>
  <c r="E1089" i="3"/>
  <c r="B1089" i="3"/>
  <c r="B1067" i="2"/>
  <c r="A1068" i="2"/>
  <c r="G1089" i="1"/>
  <c r="P1089" i="1"/>
  <c r="D1089" i="1"/>
  <c r="M1089" i="1"/>
  <c r="E1089" i="1"/>
  <c r="N1089" i="1"/>
  <c r="I1089" i="1"/>
  <c r="O1089" i="1"/>
  <c r="Q1089" i="1"/>
  <c r="H1089" i="1"/>
  <c r="J1089" i="1"/>
  <c r="L1089" i="1"/>
  <c r="C1089" i="1"/>
  <c r="B1089" i="1"/>
  <c r="F1089" i="1"/>
  <c r="A1090" i="1"/>
  <c r="G1090" i="1" l="1"/>
  <c r="P1090" i="1"/>
  <c r="D1090" i="1"/>
  <c r="M1090" i="1"/>
  <c r="E1090" i="1"/>
  <c r="N1090" i="1"/>
  <c r="F1090" i="1"/>
  <c r="L1090" i="1"/>
  <c r="O1090" i="1"/>
  <c r="J1090" i="1"/>
  <c r="A1091" i="1"/>
  <c r="Q1090" i="1"/>
  <c r="H1090" i="1"/>
  <c r="B1090" i="1"/>
  <c r="C1090" i="1"/>
  <c r="I1090" i="1"/>
  <c r="A1069" i="2"/>
  <c r="B1068" i="2"/>
  <c r="B1090" i="3"/>
  <c r="A1091" i="3"/>
  <c r="C1090" i="3"/>
  <c r="D1090" i="3"/>
  <c r="E1090" i="3"/>
  <c r="D1091" i="3" l="1"/>
  <c r="E1091" i="3"/>
  <c r="B1091" i="3"/>
  <c r="A1092" i="3"/>
  <c r="C1091" i="3"/>
  <c r="G1091" i="1"/>
  <c r="P1091" i="1"/>
  <c r="D1091" i="1"/>
  <c r="M1091" i="1"/>
  <c r="E1091" i="1"/>
  <c r="N1091" i="1"/>
  <c r="B1091" i="1"/>
  <c r="Q1091" i="1"/>
  <c r="J1091" i="1"/>
  <c r="L1091" i="1"/>
  <c r="A1092" i="1"/>
  <c r="I1091" i="1"/>
  <c r="C1091" i="1"/>
  <c r="F1091" i="1"/>
  <c r="H1091" i="1"/>
  <c r="O1091" i="1"/>
  <c r="B1069" i="2"/>
  <c r="A1070" i="2"/>
  <c r="G1092" i="1" l="1"/>
  <c r="P1092" i="1"/>
  <c r="D1092" i="1"/>
  <c r="M1092" i="1"/>
  <c r="E1092" i="1"/>
  <c r="N1092" i="1"/>
  <c r="L1092" i="1"/>
  <c r="I1092" i="1"/>
  <c r="J1092" i="1"/>
  <c r="B1092" i="1"/>
  <c r="C1092" i="1"/>
  <c r="Q1092" i="1"/>
  <c r="H1092" i="1"/>
  <c r="O1092" i="1"/>
  <c r="A1093" i="1"/>
  <c r="F1092" i="1"/>
  <c r="A1071" i="2"/>
  <c r="B1070" i="2"/>
  <c r="D1092" i="3"/>
  <c r="E1092" i="3"/>
  <c r="B1092" i="3"/>
  <c r="C1092" i="3"/>
  <c r="A1093" i="3"/>
  <c r="G1093" i="1" l="1"/>
  <c r="P1093" i="1"/>
  <c r="D1093" i="1"/>
  <c r="M1093" i="1"/>
  <c r="E1093" i="1"/>
  <c r="N1093" i="1"/>
  <c r="I1093" i="1"/>
  <c r="H1093" i="1"/>
  <c r="J1093" i="1"/>
  <c r="B1093" i="1"/>
  <c r="C1093" i="1"/>
  <c r="F1093" i="1"/>
  <c r="A1094" i="1"/>
  <c r="Q1093" i="1"/>
  <c r="L1093" i="1"/>
  <c r="O1093" i="1"/>
  <c r="B1093" i="3"/>
  <c r="C1093" i="3"/>
  <c r="D1093" i="3"/>
  <c r="E1093" i="3"/>
  <c r="A1094" i="3"/>
  <c r="B1071" i="2"/>
  <c r="A1072" i="2"/>
  <c r="A1073" i="2" l="1"/>
  <c r="B1072" i="2"/>
  <c r="E1094" i="3"/>
  <c r="A1095" i="3"/>
  <c r="B1094" i="3"/>
  <c r="C1094" i="3"/>
  <c r="D1094" i="3"/>
  <c r="G1094" i="1"/>
  <c r="P1094" i="1"/>
  <c r="D1094" i="1"/>
  <c r="M1094" i="1"/>
  <c r="E1094" i="1"/>
  <c r="N1094" i="1"/>
  <c r="F1094" i="1"/>
  <c r="H1094" i="1"/>
  <c r="I1094" i="1"/>
  <c r="C1094" i="1"/>
  <c r="J1094" i="1"/>
  <c r="L1094" i="1"/>
  <c r="Q1094" i="1"/>
  <c r="A1095" i="1"/>
  <c r="B1094" i="1"/>
  <c r="O1094" i="1"/>
  <c r="G1095" i="1" l="1"/>
  <c r="P1095" i="1"/>
  <c r="D1095" i="1"/>
  <c r="M1095" i="1"/>
  <c r="E1095" i="1"/>
  <c r="N1095" i="1"/>
  <c r="B1095" i="1"/>
  <c r="Q1095" i="1"/>
  <c r="F1095" i="1"/>
  <c r="H1095" i="1"/>
  <c r="J1095" i="1"/>
  <c r="L1095" i="1"/>
  <c r="O1095" i="1"/>
  <c r="C1095" i="1"/>
  <c r="A1096" i="1"/>
  <c r="I1095" i="1"/>
  <c r="E1095" i="3"/>
  <c r="A1096" i="3"/>
  <c r="B1095" i="3"/>
  <c r="C1095" i="3"/>
  <c r="D1095" i="3"/>
  <c r="B1073" i="2"/>
  <c r="A1074" i="2"/>
  <c r="A1075" i="2" l="1"/>
  <c r="B1074" i="2"/>
  <c r="G1096" i="1"/>
  <c r="P1096" i="1"/>
  <c r="D1096" i="1"/>
  <c r="M1096" i="1"/>
  <c r="E1096" i="1"/>
  <c r="N1096" i="1"/>
  <c r="L1096" i="1"/>
  <c r="C1096" i="1"/>
  <c r="F1096" i="1"/>
  <c r="O1096" i="1"/>
  <c r="Q1096" i="1"/>
  <c r="A1097" i="1"/>
  <c r="I1096" i="1"/>
  <c r="B1096" i="1"/>
  <c r="J1096" i="1"/>
  <c r="H1096" i="1"/>
  <c r="C1096" i="3"/>
  <c r="D1096" i="3"/>
  <c r="E1096" i="3"/>
  <c r="A1097" i="3"/>
  <c r="B1096" i="3"/>
  <c r="G1097" i="1" l="1"/>
  <c r="P1097" i="1"/>
  <c r="D1097" i="1"/>
  <c r="M1097" i="1"/>
  <c r="E1097" i="1"/>
  <c r="N1097" i="1"/>
  <c r="I1097" i="1"/>
  <c r="B1097" i="1"/>
  <c r="A1098" i="1"/>
  <c r="C1097" i="1"/>
  <c r="Q1097" i="1"/>
  <c r="L1097" i="1"/>
  <c r="H1097" i="1"/>
  <c r="J1097" i="1"/>
  <c r="O1097" i="1"/>
  <c r="F1097" i="1"/>
  <c r="A1098" i="3"/>
  <c r="C1097" i="3"/>
  <c r="D1097" i="3"/>
  <c r="B1097" i="3"/>
  <c r="E1097" i="3"/>
  <c r="B1075" i="2"/>
  <c r="A1076" i="2"/>
  <c r="A1077" i="2" l="1"/>
  <c r="B1076" i="2"/>
  <c r="B1098" i="3"/>
  <c r="A1099" i="3"/>
  <c r="C1098" i="3"/>
  <c r="D1098" i="3"/>
  <c r="E1098" i="3"/>
  <c r="G1098" i="1"/>
  <c r="P1098" i="1"/>
  <c r="D1098" i="1"/>
  <c r="M1098" i="1"/>
  <c r="E1098" i="1"/>
  <c r="N1098" i="1"/>
  <c r="F1098" i="1"/>
  <c r="Q1098" i="1"/>
  <c r="B1098" i="1"/>
  <c r="A1099" i="1"/>
  <c r="C1098" i="1"/>
  <c r="H1098" i="1"/>
  <c r="O1098" i="1"/>
  <c r="I1098" i="1"/>
  <c r="L1098" i="1"/>
  <c r="J1098" i="1"/>
  <c r="D1099" i="3" l="1"/>
  <c r="E1099" i="3"/>
  <c r="B1099" i="3"/>
  <c r="A1100" i="3"/>
  <c r="C1099" i="3"/>
  <c r="G1099" i="1"/>
  <c r="P1099" i="1"/>
  <c r="D1099" i="1"/>
  <c r="M1099" i="1"/>
  <c r="E1099" i="1"/>
  <c r="N1099" i="1"/>
  <c r="B1099" i="1"/>
  <c r="Q1099" i="1"/>
  <c r="O1099" i="1"/>
  <c r="A1100" i="1"/>
  <c r="F1099" i="1"/>
  <c r="H1099" i="1"/>
  <c r="I1099" i="1"/>
  <c r="L1099" i="1"/>
  <c r="C1099" i="1"/>
  <c r="J1099" i="1"/>
  <c r="A1078" i="2"/>
  <c r="B1077" i="2"/>
  <c r="G1100" i="1" l="1"/>
  <c r="P1100" i="1"/>
  <c r="D1100" i="1"/>
  <c r="M1100" i="1"/>
  <c r="E1100" i="1"/>
  <c r="N1100" i="1"/>
  <c r="L1100" i="1"/>
  <c r="O1100" i="1"/>
  <c r="Q1100" i="1"/>
  <c r="H1100" i="1"/>
  <c r="I1100" i="1"/>
  <c r="J1100" i="1"/>
  <c r="C1100" i="1"/>
  <c r="B1100" i="1"/>
  <c r="A1101" i="1"/>
  <c r="F1100" i="1"/>
  <c r="D1100" i="3"/>
  <c r="E1100" i="3"/>
  <c r="B1100" i="3"/>
  <c r="C1100" i="3"/>
  <c r="A1101" i="3"/>
  <c r="B1078" i="2"/>
  <c r="A1079" i="2"/>
  <c r="B1079" i="2" l="1"/>
  <c r="A1080" i="2"/>
  <c r="G1101" i="1"/>
  <c r="P1101" i="1"/>
  <c r="D1101" i="1"/>
  <c r="M1101" i="1"/>
  <c r="E1101" i="1"/>
  <c r="N1101" i="1"/>
  <c r="I1101" i="1"/>
  <c r="L1101" i="1"/>
  <c r="O1101" i="1"/>
  <c r="J1101" i="1"/>
  <c r="Q1101" i="1"/>
  <c r="A1102" i="1"/>
  <c r="F1101" i="1"/>
  <c r="B1101" i="1"/>
  <c r="C1101" i="1"/>
  <c r="H1101" i="1"/>
  <c r="B1101" i="3"/>
  <c r="C1101" i="3"/>
  <c r="D1101" i="3"/>
  <c r="E1101" i="3"/>
  <c r="A1102" i="3"/>
  <c r="E1102" i="3" l="1"/>
  <c r="A1103" i="3"/>
  <c r="B1102" i="3"/>
  <c r="C1102" i="3"/>
  <c r="D1102" i="3"/>
  <c r="G1102" i="1"/>
  <c r="P1102" i="1"/>
  <c r="D1102" i="1"/>
  <c r="M1102" i="1"/>
  <c r="E1102" i="1"/>
  <c r="N1102" i="1"/>
  <c r="F1102" i="1"/>
  <c r="J1102" i="1"/>
  <c r="L1102" i="1"/>
  <c r="Q1102" i="1"/>
  <c r="A1103" i="1"/>
  <c r="I1102" i="1"/>
  <c r="C1102" i="1"/>
  <c r="H1102" i="1"/>
  <c r="O1102" i="1"/>
  <c r="B1102" i="1"/>
  <c r="A1081" i="2"/>
  <c r="B1080" i="2"/>
  <c r="G1103" i="1" l="1"/>
  <c r="P1103" i="1"/>
  <c r="D1103" i="1"/>
  <c r="M1103" i="1"/>
  <c r="E1103" i="1"/>
  <c r="N1103" i="1"/>
  <c r="B1103" i="1"/>
  <c r="Q1103" i="1"/>
  <c r="I1103" i="1"/>
  <c r="J1103" i="1"/>
  <c r="C1103" i="1"/>
  <c r="O1103" i="1"/>
  <c r="L1103" i="1"/>
  <c r="F1103" i="1"/>
  <c r="H1103" i="1"/>
  <c r="A1104" i="1"/>
  <c r="A1082" i="2"/>
  <c r="B1081" i="2"/>
  <c r="E1103" i="3"/>
  <c r="A1104" i="3"/>
  <c r="B1103" i="3"/>
  <c r="C1103" i="3"/>
  <c r="D1103" i="3"/>
  <c r="G1104" i="1" l="1"/>
  <c r="P1104" i="1"/>
  <c r="D1104" i="1"/>
  <c r="M1104" i="1"/>
  <c r="E1104" i="1"/>
  <c r="N1104" i="1"/>
  <c r="L1104" i="1"/>
  <c r="H1104" i="1"/>
  <c r="I1104" i="1"/>
  <c r="B1104" i="1"/>
  <c r="C1104" i="1"/>
  <c r="F1104" i="1"/>
  <c r="A1105" i="1"/>
  <c r="O1104" i="1"/>
  <c r="Q1104" i="1"/>
  <c r="J1104" i="1"/>
  <c r="C1104" i="3"/>
  <c r="D1104" i="3"/>
  <c r="E1104" i="3"/>
  <c r="A1105" i="3"/>
  <c r="B1104" i="3"/>
  <c r="B1082" i="2"/>
  <c r="A1083" i="2"/>
  <c r="B1083" i="2" l="1"/>
  <c r="A1084" i="2"/>
  <c r="G1105" i="1"/>
  <c r="P1105" i="1"/>
  <c r="D1105" i="1"/>
  <c r="M1105" i="1"/>
  <c r="E1105" i="1"/>
  <c r="N1105" i="1"/>
  <c r="I1105" i="1"/>
  <c r="F1105" i="1"/>
  <c r="H1105" i="1"/>
  <c r="C1105" i="1"/>
  <c r="J1105" i="1"/>
  <c r="L1105" i="1"/>
  <c r="O1105" i="1"/>
  <c r="A1106" i="1"/>
  <c r="B1105" i="1"/>
  <c r="Q1105" i="1"/>
  <c r="A1106" i="3"/>
  <c r="C1105" i="3"/>
  <c r="D1105" i="3"/>
  <c r="B1105" i="3"/>
  <c r="E1105" i="3"/>
  <c r="G1106" i="1" l="1"/>
  <c r="P1106" i="1"/>
  <c r="D1106" i="1"/>
  <c r="M1106" i="1"/>
  <c r="E1106" i="1"/>
  <c r="N1106" i="1"/>
  <c r="F1106" i="1"/>
  <c r="C1106" i="1"/>
  <c r="H1106" i="1"/>
  <c r="J1106" i="1"/>
  <c r="O1106" i="1"/>
  <c r="L1106" i="1"/>
  <c r="B1106" i="1"/>
  <c r="A1107" i="1"/>
  <c r="I1106" i="1"/>
  <c r="Q1106" i="1"/>
  <c r="C1084" i="2"/>
  <c r="A1085" i="2"/>
  <c r="H1084" i="2"/>
  <c r="I1084" i="2"/>
  <c r="B1084" i="2"/>
  <c r="D1084" i="2"/>
  <c r="J1084" i="2"/>
  <c r="E1084" i="2"/>
  <c r="F1084" i="2"/>
  <c r="G1084" i="2"/>
  <c r="B1106" i="3"/>
  <c r="A1107" i="3"/>
  <c r="C1106" i="3"/>
  <c r="D1106" i="3"/>
  <c r="E1106" i="3"/>
  <c r="G1107" i="1" l="1"/>
  <c r="P1107" i="1"/>
  <c r="D1107" i="1"/>
  <c r="M1107" i="1"/>
  <c r="E1107" i="1"/>
  <c r="N1107" i="1"/>
  <c r="B1107" i="1"/>
  <c r="Q1107" i="1"/>
  <c r="C1107" i="1"/>
  <c r="F1107" i="1"/>
  <c r="L1107" i="1"/>
  <c r="O1107" i="1"/>
  <c r="A1108" i="1"/>
  <c r="I1107" i="1"/>
  <c r="H1107" i="1"/>
  <c r="J1107" i="1"/>
  <c r="I1085" i="2"/>
  <c r="F1085" i="2"/>
  <c r="G1085" i="2"/>
  <c r="D1085" i="2"/>
  <c r="E1085" i="2"/>
  <c r="B1085" i="2"/>
  <c r="A1086" i="2"/>
  <c r="C1085" i="2"/>
  <c r="H1085" i="2"/>
  <c r="J1085" i="2"/>
  <c r="D1107" i="3"/>
  <c r="E1107" i="3"/>
  <c r="B1107" i="3"/>
  <c r="A1108" i="3"/>
  <c r="C1107" i="3"/>
  <c r="D1108" i="3" l="1"/>
  <c r="E1108" i="3"/>
  <c r="B1108" i="3"/>
  <c r="C1108" i="3"/>
  <c r="A1109" i="3"/>
  <c r="G1086" i="2"/>
  <c r="D1086" i="2"/>
  <c r="E1086" i="2"/>
  <c r="H1086" i="2"/>
  <c r="I1086" i="2"/>
  <c r="B1086" i="2"/>
  <c r="C1086" i="2"/>
  <c r="F1086" i="2"/>
  <c r="J1086" i="2"/>
  <c r="A1087" i="2"/>
  <c r="G1108" i="1"/>
  <c r="P1108" i="1"/>
  <c r="D1108" i="1"/>
  <c r="M1108" i="1"/>
  <c r="E1108" i="1"/>
  <c r="N1108" i="1"/>
  <c r="L1108" i="1"/>
  <c r="B1108" i="1"/>
  <c r="A1109" i="1"/>
  <c r="C1108" i="1"/>
  <c r="Q1108" i="1"/>
  <c r="J1108" i="1"/>
  <c r="F1108" i="1"/>
  <c r="H1108" i="1"/>
  <c r="O1108" i="1"/>
  <c r="I1108" i="1"/>
  <c r="G1109" i="1" l="1"/>
  <c r="P1109" i="1"/>
  <c r="D1109" i="1"/>
  <c r="M1109" i="1"/>
  <c r="E1109" i="1"/>
  <c r="N1109" i="1"/>
  <c r="I1109" i="1"/>
  <c r="Q1109" i="1"/>
  <c r="B1109" i="1"/>
  <c r="A1110" i="1"/>
  <c r="C1109" i="1"/>
  <c r="F1109" i="1"/>
  <c r="O1109" i="1"/>
  <c r="J1109" i="1"/>
  <c r="L1109" i="1"/>
  <c r="H1109" i="1"/>
  <c r="E1087" i="2"/>
  <c r="B1087" i="2"/>
  <c r="J1087" i="2"/>
  <c r="C1087" i="2"/>
  <c r="A1088" i="2"/>
  <c r="I1087" i="2"/>
  <c r="F1087" i="2"/>
  <c r="G1087" i="2"/>
  <c r="H1087" i="2"/>
  <c r="D1087" i="2"/>
  <c r="B1109" i="3"/>
  <c r="C1109" i="3"/>
  <c r="D1109" i="3"/>
  <c r="E1109" i="3"/>
  <c r="A1110" i="3"/>
  <c r="E1110" i="3" l="1"/>
  <c r="A1111" i="3"/>
  <c r="B1110" i="3"/>
  <c r="C1110" i="3"/>
  <c r="D1110" i="3"/>
  <c r="I1088" i="2"/>
  <c r="J1088" i="2"/>
  <c r="B1088" i="2"/>
  <c r="A1089" i="2"/>
  <c r="F1088" i="2"/>
  <c r="G1088" i="2"/>
  <c r="E1088" i="2"/>
  <c r="H1088" i="2"/>
  <c r="C1088" i="2"/>
  <c r="D1088" i="2"/>
  <c r="G1110" i="1"/>
  <c r="P1110" i="1"/>
  <c r="D1110" i="1"/>
  <c r="M1110" i="1"/>
  <c r="E1110" i="1"/>
  <c r="N1110" i="1"/>
  <c r="F1110" i="1"/>
  <c r="O1110" i="1"/>
  <c r="Q1110" i="1"/>
  <c r="C1110" i="1"/>
  <c r="I1110" i="1"/>
  <c r="H1110" i="1"/>
  <c r="B1110" i="1"/>
  <c r="J1110" i="1"/>
  <c r="L1110" i="1"/>
  <c r="A1111" i="1"/>
  <c r="G1111" i="1" l="1"/>
  <c r="P1111" i="1"/>
  <c r="D1111" i="1"/>
  <c r="M1111" i="1"/>
  <c r="E1111" i="1"/>
  <c r="N1111" i="1"/>
  <c r="B1111" i="1"/>
  <c r="Q1111" i="1"/>
  <c r="L1111" i="1"/>
  <c r="O1111" i="1"/>
  <c r="H1111" i="1"/>
  <c r="I1111" i="1"/>
  <c r="J1111" i="1"/>
  <c r="C1111" i="1"/>
  <c r="F1111" i="1"/>
  <c r="A1112" i="1"/>
  <c r="E1111" i="3"/>
  <c r="A1112" i="3"/>
  <c r="B1111" i="3"/>
  <c r="C1111" i="3"/>
  <c r="D1111" i="3"/>
  <c r="H1089" i="2"/>
  <c r="I1089" i="2"/>
  <c r="E1089" i="2"/>
  <c r="F1089" i="2"/>
  <c r="B1089" i="2"/>
  <c r="G1089" i="2"/>
  <c r="J1089" i="2"/>
  <c r="C1089" i="2"/>
  <c r="D1089" i="2"/>
  <c r="A1090" i="2"/>
  <c r="G1112" i="1" l="1"/>
  <c r="P1112" i="1"/>
  <c r="D1112" i="1"/>
  <c r="M1112" i="1"/>
  <c r="E1112" i="1"/>
  <c r="N1112" i="1"/>
  <c r="L1112" i="1"/>
  <c r="J1112" i="1"/>
  <c r="O1112" i="1"/>
  <c r="I1112" i="1"/>
  <c r="Q1112" i="1"/>
  <c r="A1113" i="1"/>
  <c r="F1112" i="1"/>
  <c r="B1112" i="1"/>
  <c r="C1112" i="1"/>
  <c r="H1112" i="1"/>
  <c r="F1090" i="2"/>
  <c r="G1090" i="2"/>
  <c r="C1090" i="2"/>
  <c r="A1091" i="2"/>
  <c r="D1090" i="2"/>
  <c r="B1090" i="2"/>
  <c r="E1090" i="2"/>
  <c r="H1090" i="2"/>
  <c r="J1090" i="2"/>
  <c r="I1090" i="2"/>
  <c r="C1112" i="3"/>
  <c r="D1112" i="3"/>
  <c r="E1112" i="3"/>
  <c r="A1113" i="3"/>
  <c r="B1112" i="3"/>
  <c r="A1114" i="3" l="1"/>
  <c r="C1113" i="3"/>
  <c r="D1113" i="3"/>
  <c r="B1113" i="3"/>
  <c r="E1113" i="3"/>
  <c r="D1091" i="2"/>
  <c r="E1091" i="2"/>
  <c r="I1091" i="2"/>
  <c r="B1091" i="2"/>
  <c r="J1091" i="2"/>
  <c r="H1091" i="2"/>
  <c r="A1092" i="2"/>
  <c r="C1091" i="2"/>
  <c r="F1091" i="2"/>
  <c r="G1091" i="2"/>
  <c r="G1113" i="1"/>
  <c r="P1113" i="1"/>
  <c r="D1113" i="1"/>
  <c r="M1113" i="1"/>
  <c r="E1113" i="1"/>
  <c r="N1113" i="1"/>
  <c r="I1113" i="1"/>
  <c r="J1113" i="1"/>
  <c r="L1113" i="1"/>
  <c r="Q1113" i="1"/>
  <c r="A1114" i="1"/>
  <c r="H1113" i="1"/>
  <c r="B1113" i="1"/>
  <c r="F1113" i="1"/>
  <c r="C1113" i="1"/>
  <c r="O1113" i="1"/>
  <c r="G1114" i="1" l="1"/>
  <c r="P1114" i="1"/>
  <c r="D1114" i="1"/>
  <c r="M1114" i="1"/>
  <c r="E1114" i="1"/>
  <c r="N1114" i="1"/>
  <c r="F1114" i="1"/>
  <c r="I1114" i="1"/>
  <c r="J1114" i="1"/>
  <c r="A1115" i="1"/>
  <c r="B1114" i="1"/>
  <c r="O1114" i="1"/>
  <c r="H1114" i="1"/>
  <c r="L1114" i="1"/>
  <c r="Q1114" i="1"/>
  <c r="C1114" i="1"/>
  <c r="B1092" i="2"/>
  <c r="J1092" i="2"/>
  <c r="C1092" i="2"/>
  <c r="A1093" i="2"/>
  <c r="G1092" i="2"/>
  <c r="H1092" i="2"/>
  <c r="D1092" i="2"/>
  <c r="I1092" i="2"/>
  <c r="E1092" i="2"/>
  <c r="F1092" i="2"/>
  <c r="B1114" i="3"/>
  <c r="A1115" i="3"/>
  <c r="C1114" i="3"/>
  <c r="D1114" i="3"/>
  <c r="E1114" i="3"/>
  <c r="G1115" i="1" l="1"/>
  <c r="P1115" i="1"/>
  <c r="D1115" i="1"/>
  <c r="M1115" i="1"/>
  <c r="E1115" i="1"/>
  <c r="N1115" i="1"/>
  <c r="B1115" i="1"/>
  <c r="Q1115" i="1"/>
  <c r="H1115" i="1"/>
  <c r="I1115" i="1"/>
  <c r="C1115" i="1"/>
  <c r="F1115" i="1"/>
  <c r="A1116" i="1"/>
  <c r="J1115" i="1"/>
  <c r="O1115" i="1"/>
  <c r="L1115" i="1"/>
  <c r="D1115" i="3"/>
  <c r="E1115" i="3"/>
  <c r="B1115" i="3"/>
  <c r="A1116" i="3"/>
  <c r="C1115" i="3"/>
  <c r="H1093" i="2"/>
  <c r="I1093" i="2"/>
  <c r="E1093" i="2"/>
  <c r="F1093" i="2"/>
  <c r="D1093" i="2"/>
  <c r="G1093" i="2"/>
  <c r="J1093" i="2"/>
  <c r="B1093" i="2"/>
  <c r="C1093" i="2"/>
  <c r="A1094" i="2"/>
  <c r="F1094" i="2" l="1"/>
  <c r="G1094" i="2"/>
  <c r="C1094" i="2"/>
  <c r="A1095" i="2"/>
  <c r="D1094" i="2"/>
  <c r="J1094" i="2"/>
  <c r="E1094" i="2"/>
  <c r="H1094" i="2"/>
  <c r="B1094" i="2"/>
  <c r="I1094" i="2"/>
  <c r="G1116" i="1"/>
  <c r="P1116" i="1"/>
  <c r="D1116" i="1"/>
  <c r="M1116" i="1"/>
  <c r="E1116" i="1"/>
  <c r="N1116" i="1"/>
  <c r="F1116" i="1"/>
  <c r="H1116" i="1"/>
  <c r="C1116" i="1"/>
  <c r="I1116" i="1"/>
  <c r="J1116" i="1"/>
  <c r="A1117" i="1"/>
  <c r="O1116" i="1"/>
  <c r="Q1116" i="1"/>
  <c r="B1116" i="1"/>
  <c r="L1116" i="1"/>
  <c r="D1116" i="3"/>
  <c r="E1116" i="3"/>
  <c r="B1116" i="3"/>
  <c r="C1116" i="3"/>
  <c r="A1117" i="3"/>
  <c r="B1117" i="3" l="1"/>
  <c r="C1117" i="3"/>
  <c r="D1117" i="3"/>
  <c r="E1117" i="3"/>
  <c r="A1118" i="3"/>
  <c r="G1117" i="1"/>
  <c r="P1117" i="1"/>
  <c r="D1117" i="1"/>
  <c r="M1117" i="1"/>
  <c r="E1117" i="1"/>
  <c r="N1117" i="1"/>
  <c r="B1117" i="1"/>
  <c r="Q1117" i="1"/>
  <c r="C1117" i="1"/>
  <c r="A1118" i="1"/>
  <c r="H1117" i="1"/>
  <c r="I1117" i="1"/>
  <c r="J1117" i="1"/>
  <c r="L1117" i="1"/>
  <c r="F1117" i="1"/>
  <c r="O1117" i="1"/>
  <c r="D1095" i="2"/>
  <c r="E1095" i="2"/>
  <c r="I1095" i="2"/>
  <c r="B1095" i="2"/>
  <c r="J1095" i="2"/>
  <c r="C1095" i="2"/>
  <c r="F1095" i="2"/>
  <c r="A1096" i="2"/>
  <c r="H1095" i="2"/>
  <c r="G1095" i="2"/>
  <c r="G1118" i="1" l="1"/>
  <c r="P1118" i="1"/>
  <c r="D1118" i="1"/>
  <c r="M1118" i="1"/>
  <c r="E1118" i="1"/>
  <c r="N1118" i="1"/>
  <c r="L1118" i="1"/>
  <c r="O1118" i="1"/>
  <c r="H1118" i="1"/>
  <c r="I1118" i="1"/>
  <c r="J1118" i="1"/>
  <c r="C1118" i="1"/>
  <c r="A1119" i="1"/>
  <c r="B1118" i="1"/>
  <c r="F1118" i="1"/>
  <c r="Q1118" i="1"/>
  <c r="B1096" i="2"/>
  <c r="J1096" i="2"/>
  <c r="C1096" i="2"/>
  <c r="A1097" i="2"/>
  <c r="G1096" i="2"/>
  <c r="H1096" i="2"/>
  <c r="F1096" i="2"/>
  <c r="I1096" i="2"/>
  <c r="D1096" i="2"/>
  <c r="E1096" i="2"/>
  <c r="E1118" i="3"/>
  <c r="A1119" i="3"/>
  <c r="B1118" i="3"/>
  <c r="C1118" i="3"/>
  <c r="D1118" i="3"/>
  <c r="G1119" i="1" l="1"/>
  <c r="P1119" i="1"/>
  <c r="D1119" i="1"/>
  <c r="M1119" i="1"/>
  <c r="E1119" i="1"/>
  <c r="N1119" i="1"/>
  <c r="I1119" i="1"/>
  <c r="J1119" i="1"/>
  <c r="H1119" i="1"/>
  <c r="L1119" i="1"/>
  <c r="O1119" i="1"/>
  <c r="C1119" i="1"/>
  <c r="B1119" i="1"/>
  <c r="F1119" i="1"/>
  <c r="Q1119" i="1"/>
  <c r="A1120" i="1"/>
  <c r="E1119" i="3"/>
  <c r="A1120" i="3"/>
  <c r="B1119" i="3"/>
  <c r="C1119" i="3"/>
  <c r="D1119" i="3"/>
  <c r="H1097" i="2"/>
  <c r="I1097" i="2"/>
  <c r="E1097" i="2"/>
  <c r="F1097" i="2"/>
  <c r="B1097" i="2"/>
  <c r="G1097" i="2"/>
  <c r="J1097" i="2"/>
  <c r="D1097" i="2"/>
  <c r="A1098" i="2"/>
  <c r="C1097" i="2"/>
  <c r="G1120" i="1" l="1"/>
  <c r="P1120" i="1"/>
  <c r="D1120" i="1"/>
  <c r="M1120" i="1"/>
  <c r="E1120" i="1"/>
  <c r="N1120" i="1"/>
  <c r="F1120" i="1"/>
  <c r="H1120" i="1"/>
  <c r="J1120" i="1"/>
  <c r="L1120" i="1"/>
  <c r="O1120" i="1"/>
  <c r="C1120" i="1"/>
  <c r="A1121" i="1"/>
  <c r="B1120" i="1"/>
  <c r="I1120" i="1"/>
  <c r="Q1120" i="1"/>
  <c r="F1098" i="2"/>
  <c r="G1098" i="2"/>
  <c r="C1098" i="2"/>
  <c r="A1099" i="2"/>
  <c r="D1098" i="2"/>
  <c r="B1098" i="2"/>
  <c r="E1098" i="2"/>
  <c r="H1098" i="2"/>
  <c r="I1098" i="2"/>
  <c r="J1098" i="2"/>
  <c r="C1120" i="3"/>
  <c r="D1120" i="3"/>
  <c r="E1120" i="3"/>
  <c r="A1121" i="3"/>
  <c r="B1120" i="3"/>
  <c r="G1121" i="1" l="1"/>
  <c r="P1121" i="1"/>
  <c r="D1121" i="1"/>
  <c r="M1121" i="1"/>
  <c r="E1121" i="1"/>
  <c r="N1121" i="1"/>
  <c r="B1121" i="1"/>
  <c r="Q1121" i="1"/>
  <c r="C1121" i="1"/>
  <c r="A1122" i="1"/>
  <c r="J1121" i="1"/>
  <c r="L1121" i="1"/>
  <c r="O1121" i="1"/>
  <c r="H1121" i="1"/>
  <c r="F1121" i="1"/>
  <c r="I1121" i="1"/>
  <c r="A1122" i="3"/>
  <c r="C1121" i="3"/>
  <c r="D1121" i="3"/>
  <c r="B1121" i="3"/>
  <c r="E1121" i="3"/>
  <c r="D1099" i="2"/>
  <c r="E1099" i="2"/>
  <c r="I1099" i="2"/>
  <c r="B1099" i="2"/>
  <c r="J1099" i="2"/>
  <c r="H1099" i="2"/>
  <c r="A1100" i="2"/>
  <c r="C1099" i="2"/>
  <c r="F1099" i="2"/>
  <c r="G1099" i="2"/>
  <c r="B1122" i="3" l="1"/>
  <c r="C1122" i="3"/>
  <c r="D1122" i="3"/>
  <c r="E1122" i="3"/>
  <c r="B1100" i="2"/>
  <c r="J1100" i="2"/>
  <c r="C1100" i="2"/>
  <c r="A1101" i="2"/>
  <c r="G1100" i="2"/>
  <c r="H1100" i="2"/>
  <c r="D1100" i="2"/>
  <c r="I1100" i="2"/>
  <c r="F1100" i="2"/>
  <c r="E1100" i="2"/>
  <c r="G1122" i="1"/>
  <c r="P1122" i="1"/>
  <c r="D1122" i="1"/>
  <c r="M1122" i="1"/>
  <c r="E1122" i="1"/>
  <c r="N1122" i="1"/>
  <c r="L1122" i="1"/>
  <c r="O1122" i="1"/>
  <c r="J1122" i="1"/>
  <c r="Q1122" i="1"/>
  <c r="H1122" i="1"/>
  <c r="B1122" i="1"/>
  <c r="C1122" i="1"/>
  <c r="I1122" i="1"/>
  <c r="F1122" i="1"/>
  <c r="H1101" i="2" l="1"/>
  <c r="I1101" i="2"/>
  <c r="E1101" i="2"/>
  <c r="F1101" i="2"/>
  <c r="D1101" i="2"/>
  <c r="G1101" i="2"/>
  <c r="J1101" i="2"/>
  <c r="B1101" i="2"/>
  <c r="A1102" i="2"/>
  <c r="C1101" i="2"/>
  <c r="F1102" i="2" l="1"/>
  <c r="G1102" i="2"/>
  <c r="C1102" i="2"/>
  <c r="A1103" i="2"/>
  <c r="D1102" i="2"/>
  <c r="J1102" i="2"/>
  <c r="E1102" i="2"/>
  <c r="H1102" i="2"/>
  <c r="B1102" i="2"/>
  <c r="I1102" i="2"/>
  <c r="D1103" i="2" l="1"/>
  <c r="E1103" i="2"/>
  <c r="I1103" i="2"/>
  <c r="B1103" i="2"/>
  <c r="J1103" i="2"/>
  <c r="C1103" i="2"/>
  <c r="F1103" i="2"/>
  <c r="A1104" i="2"/>
  <c r="G1103" i="2"/>
  <c r="H1103" i="2"/>
  <c r="B1104" i="2" l="1"/>
  <c r="J1104" i="2"/>
  <c r="C1104" i="2"/>
  <c r="A1105" i="2"/>
  <c r="G1104" i="2"/>
  <c r="H1104" i="2"/>
  <c r="F1104" i="2"/>
  <c r="I1104" i="2"/>
  <c r="D1104" i="2"/>
  <c r="E1104" i="2"/>
  <c r="H1105" i="2" l="1"/>
  <c r="I1105" i="2"/>
  <c r="E1105" i="2"/>
  <c r="F1105" i="2"/>
  <c r="B1105" i="2"/>
  <c r="G1105" i="2"/>
  <c r="J1105" i="2"/>
  <c r="A1106" i="2"/>
  <c r="C1105" i="2"/>
  <c r="D1105" i="2"/>
  <c r="F1106" i="2" l="1"/>
  <c r="G1106" i="2"/>
  <c r="C1106" i="2"/>
  <c r="A1107" i="2"/>
  <c r="D1106" i="2"/>
  <c r="B1106" i="2"/>
  <c r="E1106" i="2"/>
  <c r="H1106" i="2"/>
  <c r="I1106" i="2"/>
  <c r="J1106" i="2"/>
  <c r="D1107" i="2" l="1"/>
  <c r="E1107" i="2"/>
  <c r="I1107" i="2"/>
  <c r="B1107" i="2"/>
  <c r="J1107" i="2"/>
  <c r="H1107" i="2"/>
  <c r="A1108" i="2"/>
  <c r="C1107" i="2"/>
  <c r="F1107" i="2"/>
  <c r="G1107" i="2"/>
  <c r="B1108" i="2" l="1"/>
  <c r="J1108" i="2"/>
  <c r="C1108" i="2"/>
  <c r="A1109" i="2"/>
  <c r="G1108" i="2"/>
  <c r="H1108" i="2"/>
  <c r="D1108" i="2"/>
  <c r="I1108" i="2"/>
  <c r="F1108" i="2"/>
  <c r="E1108" i="2"/>
  <c r="H1109" i="2" l="1"/>
  <c r="I1109" i="2"/>
  <c r="E1109" i="2"/>
  <c r="F1109" i="2"/>
  <c r="D1109" i="2"/>
  <c r="G1109" i="2"/>
  <c r="J1109" i="2"/>
  <c r="B1109" i="2"/>
  <c r="C1109" i="2"/>
  <c r="A1110" i="2"/>
  <c r="F1110" i="2" l="1"/>
  <c r="G1110" i="2"/>
  <c r="C1110" i="2"/>
  <c r="A1111" i="2"/>
  <c r="D1110" i="2"/>
  <c r="J1110" i="2"/>
  <c r="E1110" i="2"/>
  <c r="H1110" i="2"/>
  <c r="B1110" i="2"/>
  <c r="I1110" i="2"/>
  <c r="D1111" i="2" l="1"/>
  <c r="E1111" i="2"/>
  <c r="I1111" i="2"/>
  <c r="B1111" i="2"/>
  <c r="J1111" i="2"/>
  <c r="C1111" i="2"/>
  <c r="F1111" i="2"/>
  <c r="A1112" i="2"/>
  <c r="G1111" i="2"/>
  <c r="H1111" i="2"/>
  <c r="B1112" i="2" l="1"/>
  <c r="J1112" i="2"/>
  <c r="C1112" i="2"/>
  <c r="A1113" i="2"/>
  <c r="G1112" i="2"/>
  <c r="H1112" i="2"/>
  <c r="F1112" i="2"/>
  <c r="I1112" i="2"/>
  <c r="D1112" i="2"/>
  <c r="E1112" i="2"/>
  <c r="H1113" i="2" l="1"/>
  <c r="I1113" i="2"/>
  <c r="E1113" i="2"/>
  <c r="F1113" i="2"/>
  <c r="B1113" i="2"/>
  <c r="G1113" i="2"/>
  <c r="J1113" i="2"/>
  <c r="D1113" i="2"/>
  <c r="C1113" i="2"/>
  <c r="A1114" i="2"/>
  <c r="F1114" i="2" l="1"/>
  <c r="G1114" i="2"/>
  <c r="C1114" i="2"/>
  <c r="A1115" i="2"/>
  <c r="D1114" i="2"/>
  <c r="B1114" i="2"/>
  <c r="E1114" i="2"/>
  <c r="H1114" i="2"/>
  <c r="I1114" i="2"/>
  <c r="J1114" i="2"/>
  <c r="D1115" i="2" l="1"/>
  <c r="E1115" i="2"/>
  <c r="I1115" i="2"/>
  <c r="B1115" i="2"/>
  <c r="J1115" i="2"/>
  <c r="H1115" i="2"/>
  <c r="A1116" i="2"/>
  <c r="C1115" i="2"/>
  <c r="F1115" i="2"/>
  <c r="G1115" i="2"/>
  <c r="B1116" i="2" l="1"/>
  <c r="J1116" i="2"/>
  <c r="C1116" i="2"/>
  <c r="A1117" i="2"/>
  <c r="G1116" i="2"/>
  <c r="H1116" i="2"/>
  <c r="D1116" i="2"/>
  <c r="I1116" i="2"/>
  <c r="E1116" i="2"/>
  <c r="F1116" i="2"/>
  <c r="H1117" i="2" l="1"/>
  <c r="I1117" i="2"/>
  <c r="E1117" i="2"/>
  <c r="F1117" i="2"/>
  <c r="D1117" i="2"/>
  <c r="G1117" i="2"/>
  <c r="J1117" i="2"/>
  <c r="B1117" i="2"/>
  <c r="A1118" i="2"/>
  <c r="C1117" i="2"/>
  <c r="F1118" i="2" l="1"/>
  <c r="G1118" i="2"/>
  <c r="C1118" i="2"/>
  <c r="A1119" i="2"/>
  <c r="D1118" i="2"/>
  <c r="J1118" i="2"/>
  <c r="E1118" i="2"/>
  <c r="H1118" i="2"/>
  <c r="I1118" i="2"/>
  <c r="B1118" i="2"/>
  <c r="D1119" i="2" l="1"/>
  <c r="E1119" i="2"/>
  <c r="I1119" i="2"/>
  <c r="B1119" i="2"/>
  <c r="J1119" i="2"/>
  <c r="C1119" i="2"/>
  <c r="F1119" i="2"/>
  <c r="A1120" i="2"/>
  <c r="G1119" i="2"/>
  <c r="H1119" i="2"/>
  <c r="B1120" i="2" l="1"/>
  <c r="J1120" i="2"/>
  <c r="C1120" i="2"/>
  <c r="A1121" i="2"/>
  <c r="G1120" i="2"/>
  <c r="H1120" i="2"/>
  <c r="F1120" i="2"/>
  <c r="I1120" i="2"/>
  <c r="D1120" i="2"/>
  <c r="E1120" i="2"/>
  <c r="H1121" i="2" l="1"/>
  <c r="I1121" i="2"/>
  <c r="E1121" i="2"/>
  <c r="F1121" i="2"/>
  <c r="B1121" i="2"/>
  <c r="G1121" i="2"/>
  <c r="J1121" i="2"/>
  <c r="A1122" i="2"/>
  <c r="D1121" i="2"/>
  <c r="C1121" i="2"/>
  <c r="F1122" i="2" l="1"/>
  <c r="G1122" i="2"/>
  <c r="C1122" i="2"/>
  <c r="D1122" i="2"/>
  <c r="B1122" i="2"/>
  <c r="E1122" i="2"/>
  <c r="H1122" i="2"/>
  <c r="J1122" i="2"/>
  <c r="I1122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<sst xmlns="http://schemas.openxmlformats.org/spreadsheetml/2006/main" count="161" uniqueCount="74">
  <si>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</si>
  <si>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</si>
  <si>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</si>
  <si>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</si>
  <si>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</si>
  <si>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</si>
  <si>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</si>
  <si>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</si>
  <si>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</si>
  <si>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</si>
  <si>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</si>
  <si>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</si>
  <si>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</si>
  <si>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</si>
  <si>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</si>
  <si>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</si>
  <si>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</si>
  <si>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</si>
  <si>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</si>
  <si>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</si>
  <si>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</si>
  <si>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</si>
  <si>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</si>
  <si>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</si>
  <si>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</si>
  <si>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April 04,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</si>
  <si>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</si>
  <si>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</si>
  <si>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</si>
  <si>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</si>
  <si>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</si>
  <si>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</si>
  <si>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</si>
  <si>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</si>
  <si>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</si>
  <si>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</si>
  <si>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</si>
  <si>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</si>
  <si>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</si>
  <si>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</si>
  <si>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</si>
  <si>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</si>
  <si>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</si>
  <si>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</si>
  <si>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</si>
  <si>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</si>
  <si>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</si>
  <si>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</si>
  <si>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</si>
  <si>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</si>
  <si>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</si>
  <si>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</si>
  <si>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</si>
  <si>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</si>
  <si>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</si>
  <si>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</si>
  <si>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</si>
  <si>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</si>
  <si>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</si>
  <si>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</si>
  <si>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</si>
  <si>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</si>
  <si>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</si>
  <si>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</si>
  <si>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</si>
  <si>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</si>
  <si>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</si>
  <si>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</si>
  <si>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</si>
  <si>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51</t>
  </si>
  <si>
    <t>Tab 2 of 5</t>
  </si>
  <si>
    <t>Tab 3 of 5</t>
  </si>
  <si>
    <t>Tab 5 of 5</t>
  </si>
  <si>
    <t>Tab 4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</si>
</sst>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4" applyFont="1" applyAlignment="1">
      <alignment horizontal="center" wrapText="1"/>
    </xf>
    <xf numFmtId="0" fontId="6" fillId="3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3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4" borderId="0" xfId="4" applyNumberFormat="1" applyFont="1" applyFill="1" applyAlignment="1">
      <alignment horizontal="center"/>
    </xf>
    <xf numFmtId="0" fontId="6" fillId="4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5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5" borderId="0" xfId="4" applyNumberFormat="1" applyFont="1" applyFill="1" applyAlignment="1">
      <alignment horizontal="center"/>
    </xf>
    <xf numFmtId="171" fontId="6" fillId="6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7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5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0" borderId="0" xfId="3" applyFont="1" applyFill="1" applyAlignment="1">
      <alignment horizontal="center"/>
    </xf>
    <xf numFmtId="0" fontId="12" fillId="10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4" borderId="0" xfId="4" quotePrefix="1" applyNumberFormat="1" applyFont="1" applyFill="1" applyAlignment="1">
      <alignment horizontal="center"/>
    </xf>
    <xf numFmtId="15" fontId="6" fillId="4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4" quotePrefix="1" applyFont="1" applyFill="1" applyAlignment="1">
      <alignment horizontal="center"/>
    </xf>
    <xf numFmtId="0" fontId="6" fillId="8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6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0" fontId="6" fillId="8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4</xdr:col>
          <xdr:colOff>533400</xdr:colOff>
          <xdr:row>13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142875</xdr:rowOff>
        </xdr:from>
        <xdr:to>
          <xdr:col>6</xdr:col>
          <xdr:colOff>257175</xdr:colOff>
          <xdr:row>13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6.zip\2016\4.%20April\160404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70" zoomScaleNormal="70" workbookViewId="0">
      <pane xSplit="1" ySplit="16" topLeftCell="B17" activePane="bottomRight" state="frozen"/>
      <selection sqref="A1:XFD7"/>
      <selection pane="topRight" sqref="A1:XFD7"/>
      <selection pane="bottomLeft" sqref="A1:XFD7"/>
      <selection pane="bottomRight" sqref="A1: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69</v>
      </c>
    </row>
    <row r="6" spans="1:19" ht="15.75">
      <c r="A6" s="81" t="s">
        <v>68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1-0.196</f>
        <v>0.80400000000000005</v>
      </c>
      <c r="E11" s="24" t="s">
        <v>23</v>
      </c>
      <c r="F11" s="23">
        <f>1+0.196</f>
        <v>1.196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2.4804 * CHOOSE(CONTROL!$C$15, $D$11, 100%, $F$11)</f>
        <v>2.4803999999999999</v>
      </c>
      <c r="C17" s="8">
        <f>2.4909 * CHOOSE(CONTROL!$C$15, $D$11, 100%, $F$11)</f>
        <v>2.4908999999999999</v>
      </c>
      <c r="D17" s="8">
        <f>2.4914 * CHOOSE( CONTROL!$C$15, $D$11, 100%, $F$11)</f>
        <v>2.4914000000000001</v>
      </c>
      <c r="E17" s="12">
        <f>2.4901 * CHOOSE( CONTROL!$C$15, $D$11, 100%, $F$11)</f>
        <v>2.4901</v>
      </c>
      <c r="F17" s="4">
        <f>3.5033 * CHOOSE(CONTROL!$C$15, $D$11, 100%, $F$11)</f>
        <v>3.5032999999999999</v>
      </c>
      <c r="G17" s="8">
        <f>2.4466 * CHOOSE( CONTROL!$C$15, $D$11, 100%, $F$11)</f>
        <v>2.4466000000000001</v>
      </c>
      <c r="H17" s="4">
        <f>3.3387 * CHOOSE(CONTROL!$C$15, $D$11, 100%, $F$11)</f>
        <v>3.3386999999999998</v>
      </c>
      <c r="I17" s="8">
        <f>2.4818 * CHOOSE(CONTROL!$C$15, $D$11, 100%, $F$11)</f>
        <v>2.4817999999999998</v>
      </c>
      <c r="J17" s="4">
        <f>2.372 * CHOOSE(CONTROL!$C$15, $D$11, 100%, $F$11)</f>
        <v>2.3719999999999999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0.61660000000000004</v>
      </c>
      <c r="P17" s="9">
        <v>1.2939000000000001</v>
      </c>
      <c r="Q17" s="9"/>
      <c r="R17" s="9">
        <f t="shared" ref="R17:R32" si="0">(0.1*4000000)/1000000</f>
        <v>0.4</v>
      </c>
      <c r="S17" s="11"/>
    </row>
    <row r="18" spans="1:19" ht="15" customHeight="1">
      <c r="A18" s="13">
        <v>42401</v>
      </c>
      <c r="B18" s="8">
        <f>2.2895 * CHOOSE(CONTROL!$C$15, $D$11, 100%, $F$11)</f>
        <v>2.2894999999999999</v>
      </c>
      <c r="C18" s="8">
        <f>2.2999 * CHOOSE(CONTROL!$C$15, $D$11, 100%, $F$11)</f>
        <v>2.2999000000000001</v>
      </c>
      <c r="D18" s="8">
        <f>2.3028 * CHOOSE( CONTROL!$C$15, $D$11, 100%, $F$11)</f>
        <v>2.3028</v>
      </c>
      <c r="E18" s="12">
        <f>2.3006 * CHOOSE( CONTROL!$C$15, $D$11, 100%, $F$11)</f>
        <v>2.3006000000000002</v>
      </c>
      <c r="F18" s="4">
        <f>3.3045 * CHOOSE(CONTROL!$C$15, $D$11, 100%, $F$11)</f>
        <v>3.3045</v>
      </c>
      <c r="G18" s="8">
        <f>2.2602 * CHOOSE( CONTROL!$C$15, $D$11, 100%, $F$11)</f>
        <v>2.2602000000000002</v>
      </c>
      <c r="H18" s="4">
        <f>3.1449 * CHOOSE(CONTROL!$C$15, $D$11, 100%, $F$11)</f>
        <v>3.1448999999999998</v>
      </c>
      <c r="I18" s="8">
        <f>2.2877 * CHOOSE(CONTROL!$C$15, $D$11, 100%, $F$11)</f>
        <v>2.2877000000000001</v>
      </c>
      <c r="J18" s="4">
        <f>2.189 * CHOOSE(CONTROL!$C$15, $D$11, 100%, $F$11)</f>
        <v>2.1890000000000001</v>
      </c>
      <c r="K18" s="4"/>
      <c r="L18" s="9">
        <v>27.0672</v>
      </c>
      <c r="M18" s="9">
        <v>11.285299999999999</v>
      </c>
      <c r="N18" s="9">
        <v>4.6254999999999997</v>
      </c>
      <c r="O18" s="9">
        <v>0.57679999999999998</v>
      </c>
      <c r="P18" s="9">
        <v>1.2104999999999999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1.7906 * CHOOSE(CONTROL!$C$15, $D$11, 100%, $F$11)</f>
        <v>1.7906</v>
      </c>
      <c r="C19" s="8">
        <f>1.801 * CHOOSE(CONTROL!$C$15, $D$11, 100%, $F$11)</f>
        <v>1.8009999999999999</v>
      </c>
      <c r="D19" s="8">
        <f>1.7819 * CHOOSE( CONTROL!$C$15, $D$11, 100%, $F$11)</f>
        <v>1.7819</v>
      </c>
      <c r="E19" s="12">
        <f>1.7878 * CHOOSE( CONTROL!$C$15, $D$11, 100%, $F$11)</f>
        <v>1.7878000000000001</v>
      </c>
      <c r="F19" s="4">
        <f>2.7895 * CHOOSE(CONTROL!$C$15, $D$11, 100%, $F$11)</f>
        <v>2.7894999999999999</v>
      </c>
      <c r="G19" s="8">
        <f>1.7536 * CHOOSE( CONTROL!$C$15, $D$11, 100%, $F$11)</f>
        <v>1.7536</v>
      </c>
      <c r="H19" s="4">
        <f>2.6429 * CHOOSE(CONTROL!$C$15, $D$11, 100%, $F$11)</f>
        <v>2.6429</v>
      </c>
      <c r="I19" s="8">
        <f>1.77 * CHOOSE(CONTROL!$C$15, $D$11, 100%, $F$11)</f>
        <v>1.77</v>
      </c>
      <c r="J19" s="4">
        <f>1.711 * CHOOSE(CONTROL!$C$15, $D$11, 100%, $F$11)</f>
        <v>1.7110000000000001</v>
      </c>
      <c r="K19" s="4"/>
      <c r="L19" s="9">
        <v>28.933900000000001</v>
      </c>
      <c r="M19" s="9">
        <v>12.063700000000001</v>
      </c>
      <c r="N19" s="9">
        <v>4.9444999999999997</v>
      </c>
      <c r="O19" s="9">
        <v>0.61660000000000004</v>
      </c>
      <c r="P19" s="9">
        <v>1.2939000000000001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1.991 * CHOOSE(CONTROL!$C$15, $D$11, 100%, $F$11)</f>
        <v>1.9910000000000001</v>
      </c>
      <c r="C20" s="8">
        <f>2.0014 * CHOOSE(CONTROL!$C$15, $D$11, 100%, $F$11)</f>
        <v>2.0013999999999998</v>
      </c>
      <c r="D20" s="8">
        <f>1.9887 * CHOOSE( CONTROL!$C$15, $D$11, 100%, $F$11)</f>
        <v>1.9886999999999999</v>
      </c>
      <c r="E20" s="12">
        <f>1.9917 * CHOOSE( CONTROL!$C$15, $D$11, 100%, $F$11)</f>
        <v>1.9917</v>
      </c>
      <c r="F20" s="4">
        <f>2.9982 * CHOOSE(CONTROL!$C$15, $D$11, 100%, $F$11)</f>
        <v>2.9982000000000002</v>
      </c>
      <c r="G20" s="8">
        <f>1.938 * CHOOSE( CONTROL!$C$15, $D$11, 100%, $F$11)</f>
        <v>1.9379999999999999</v>
      </c>
      <c r="H20" s="4">
        <f>2.8463 * CHOOSE(CONTROL!$C$15, $D$11, 100%, $F$11)</f>
        <v>2.8462999999999998</v>
      </c>
      <c r="I20" s="8">
        <f>1.9522 * CHOOSE(CONTROL!$C$15, $D$11, 100%, $F$11)</f>
        <v>1.9521999999999999</v>
      </c>
      <c r="J20" s="4">
        <f>1.903 * CHOOSE(CONTROL!$C$15, $D$11, 100%, $F$11)</f>
        <v>1.903</v>
      </c>
      <c r="K20" s="4"/>
      <c r="L20" s="9">
        <v>29.665800000000001</v>
      </c>
      <c r="M20" s="9">
        <v>11.6745</v>
      </c>
      <c r="N20" s="9">
        <v>4.7850000000000001</v>
      </c>
      <c r="O20" s="9">
        <v>0.59670000000000001</v>
      </c>
      <c r="P20" s="9">
        <v>2.0352000000000001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CONTROL!$C$32, 2.0954, 2.0901) * CHOOSE(CONTROL!$C$15, $D$11, 100%, $F$11)</f>
        <v>2.0954000000000002</v>
      </c>
      <c r="C21" s="8">
        <f>CHOOSE( CONTROL!$C$32, 2.1058, 2.1006) * CHOOSE(CONTROL!$C$15, $D$11, 100%, $F$11)</f>
        <v>2.1057999999999999</v>
      </c>
      <c r="D21" s="8">
        <f>CHOOSE( CONTROL!$C$32, 2.1079, 2.1027) * CHOOSE( CONTROL!$C$15, $D$11, 100%, $F$11)</f>
        <v>2.1078999999999999</v>
      </c>
      <c r="E21" s="12">
        <f>CHOOSE( CONTROL!$C$32, 2.1058, 2.1005) * CHOOSE( CONTROL!$C$15, $D$11, 100%, $F$11)</f>
        <v>2.1057999999999999</v>
      </c>
      <c r="F21" s="4">
        <f>CHOOSE( CONTROL!$C$32, 3.1183, 3.113) * CHOOSE(CONTROL!$C$15, $D$11, 100%, $F$11)</f>
        <v>3.1183000000000001</v>
      </c>
      <c r="G21" s="8">
        <f>CHOOSE( CONTROL!$C$32, 2.0441, 2.039) * CHOOSE( CONTROL!$C$15, $D$11, 100%, $F$11)</f>
        <v>2.0440999999999998</v>
      </c>
      <c r="H21" s="4">
        <f>CHOOSE( CONTROL!$C$32, 2.9634, 2.9583) * CHOOSE(CONTROL!$C$15, $D$11, 100%, $F$11)</f>
        <v>2.9634</v>
      </c>
      <c r="I21" s="8">
        <f>CHOOSE( CONTROL!$C$32, 2.0576, 2.0525) * CHOOSE(CONTROL!$C$15, $D$11, 100%, $F$11)</f>
        <v>2.0575999999999999</v>
      </c>
      <c r="J21" s="4">
        <f>CHOOSE( CONTROL!$C$32, 2.003, 1.998) * CHOOSE(CONTROL!$C$15, $D$11, 100%, $F$11)</f>
        <v>2.0030000000000001</v>
      </c>
      <c r="K21" s="4"/>
      <c r="L21" s="9">
        <v>34.542499999999997</v>
      </c>
      <c r="M21" s="9">
        <v>12.063700000000001</v>
      </c>
      <c r="N21" s="9">
        <v>4.9444999999999997</v>
      </c>
      <c r="O21" s="9">
        <v>0.37459999999999999</v>
      </c>
      <c r="P21" s="9">
        <v>1.3714999999999999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CONTROL!$C$32, 2.1914, 2.1861) * CHOOSE(CONTROL!$C$15, $D$11, 100%, $F$11)</f>
        <v>2.1913999999999998</v>
      </c>
      <c r="C22" s="8">
        <f>CHOOSE( CONTROL!$C$32, 2.2018, 2.1966) * CHOOSE(CONTROL!$C$15, $D$11, 100%, $F$11)</f>
        <v>2.2018</v>
      </c>
      <c r="D22" s="8">
        <f>CHOOSE( CONTROL!$C$32, 2.2104, 2.2052) * CHOOSE( CONTROL!$C$15, $D$11, 100%, $F$11)</f>
        <v>2.2103999999999999</v>
      </c>
      <c r="E22" s="12">
        <f>CHOOSE( CONTROL!$C$32, 2.2061, 2.2009) * CHOOSE( CONTROL!$C$15, $D$11, 100%, $F$11)</f>
        <v>2.2061000000000002</v>
      </c>
      <c r="F22" s="4">
        <f>CHOOSE( CONTROL!$C$32, 3.2268, 3.2216) * CHOOSE(CONTROL!$C$15, $D$11, 100%, $F$11)</f>
        <v>3.2267999999999999</v>
      </c>
      <c r="G22" s="8">
        <f>CHOOSE( CONTROL!$C$32, 2.1416, 2.1364) * CHOOSE( CONTROL!$C$15, $D$11, 100%, $F$11)</f>
        <v>2.1415999999999999</v>
      </c>
      <c r="H22" s="4">
        <f>CHOOSE( CONTROL!$C$32, 3.0692, 3.064) * CHOOSE(CONTROL!$C$15, $D$11, 100%, $F$11)</f>
        <v>3.0691999999999999</v>
      </c>
      <c r="I22" s="8">
        <f>CHOOSE( CONTROL!$C$32, 2.1549, 2.1498) * CHOOSE(CONTROL!$C$15, $D$11, 100%, $F$11)</f>
        <v>2.1549</v>
      </c>
      <c r="J22" s="4">
        <f>CHOOSE( CONTROL!$C$32, 2.095, 2.09) * CHOOSE(CONTROL!$C$15, $D$11, 100%, $F$11)</f>
        <v>2.0950000000000002</v>
      </c>
      <c r="K22" s="4"/>
      <c r="L22" s="9">
        <v>33.428199999999997</v>
      </c>
      <c r="M22" s="9">
        <v>11.6745</v>
      </c>
      <c r="N22" s="9">
        <v>4.7850000000000001</v>
      </c>
      <c r="O22" s="9">
        <v>0.36249999999999999</v>
      </c>
      <c r="P22" s="9">
        <v>1.3272999999999999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CONTROL!$C$32, 2.2905, 2.2853) * CHOOSE(CONTROL!$C$15, $D$11, 100%, $F$11)</f>
        <v>2.2905000000000002</v>
      </c>
      <c r="C23" s="8">
        <f>CHOOSE( CONTROL!$C$32, 2.301, 2.2957) * CHOOSE(CONTROL!$C$15, $D$11, 100%, $F$11)</f>
        <v>2.3010000000000002</v>
      </c>
      <c r="D23" s="8">
        <f>CHOOSE( CONTROL!$C$32, 2.2975, 2.2922) * CHOOSE( CONTROL!$C$15, $D$11, 100%, $F$11)</f>
        <v>2.2974999999999999</v>
      </c>
      <c r="E23" s="12">
        <f>CHOOSE( CONTROL!$C$32, 2.2972, 2.2919) * CHOOSE( CONTROL!$C$15, $D$11, 100%, $F$11)</f>
        <v>2.2972000000000001</v>
      </c>
      <c r="F23" s="4">
        <f>CHOOSE( CONTROL!$C$32, 3.326, 3.3207) * CHOOSE(CONTROL!$C$15, $D$11, 100%, $F$11)</f>
        <v>3.3260000000000001</v>
      </c>
      <c r="G23" s="8">
        <f>CHOOSE( CONTROL!$C$32, 2.225, 2.2198) * CHOOSE( CONTROL!$C$15, $D$11, 100%, $F$11)</f>
        <v>2.2250000000000001</v>
      </c>
      <c r="H23" s="4">
        <f>CHOOSE( CONTROL!$C$32, 3.1658, 3.1607) * CHOOSE(CONTROL!$C$15, $D$11, 100%, $F$11)</f>
        <v>3.1657999999999999</v>
      </c>
      <c r="I23" s="8">
        <f>CHOOSE( CONTROL!$C$32, 2.2533, 2.2482) * CHOOSE(CONTROL!$C$15, $D$11, 100%, $F$11)</f>
        <v>2.2532999999999999</v>
      </c>
      <c r="J23" s="4">
        <f>CHOOSE( CONTROL!$C$32, 2.19, 2.185) * CHOOSE(CONTROL!$C$15, $D$11, 100%, $F$11)</f>
        <v>2.19</v>
      </c>
      <c r="K23" s="4"/>
      <c r="L23" s="9">
        <v>34.542499999999997</v>
      </c>
      <c r="M23" s="9">
        <v>12.063700000000001</v>
      </c>
      <c r="N23" s="9">
        <v>4.9444999999999997</v>
      </c>
      <c r="O23" s="9">
        <v>0.37459999999999999</v>
      </c>
      <c r="P23" s="9">
        <v>1.3714999999999999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CONTROL!$C$32, 2.349, 2.3437) * CHOOSE(CONTROL!$C$15, $D$11, 100%, $F$11)</f>
        <v>2.3490000000000002</v>
      </c>
      <c r="C24" s="8">
        <f>CHOOSE( CONTROL!$C$32, 2.3594, 2.3542) * CHOOSE(CONTROL!$C$15, $D$11, 100%, $F$11)</f>
        <v>2.3593999999999999</v>
      </c>
      <c r="D24" s="8">
        <f>CHOOSE( CONTROL!$C$32, 2.3564, 2.3511) * CHOOSE( CONTROL!$C$15, $D$11, 100%, $F$11)</f>
        <v>2.3563999999999998</v>
      </c>
      <c r="E24" s="12">
        <f>CHOOSE( CONTROL!$C$32, 2.3559, 2.3507) * CHOOSE( CONTROL!$C$15, $D$11, 100%, $F$11)</f>
        <v>2.3559000000000001</v>
      </c>
      <c r="F24" s="4">
        <f>CHOOSE( CONTROL!$C$32, 3.3844, 3.3792) * CHOOSE(CONTROL!$C$15, $D$11, 100%, $F$11)</f>
        <v>3.3843999999999999</v>
      </c>
      <c r="G24" s="8">
        <f>CHOOSE( CONTROL!$C$32, 2.2824, 2.2773) * CHOOSE( CONTROL!$C$15, $D$11, 100%, $F$11)</f>
        <v>2.2824</v>
      </c>
      <c r="H24" s="4">
        <f>CHOOSE( CONTROL!$C$32, 3.2228, 3.2177) * CHOOSE(CONTROL!$C$15, $D$11, 100%, $F$11)</f>
        <v>3.2227999999999999</v>
      </c>
      <c r="I24" s="8">
        <f>CHOOSE( CONTROL!$C$32, 2.3109, 2.3059) * CHOOSE(CONTROL!$C$15, $D$11, 100%, $F$11)</f>
        <v>2.3109000000000002</v>
      </c>
      <c r="J24" s="4">
        <f>CHOOSE( CONTROL!$C$32, 2.246, 2.241) * CHOOSE(CONTROL!$C$15, $D$11, 100%, $F$11)</f>
        <v>2.246</v>
      </c>
      <c r="K24" s="4"/>
      <c r="L24" s="9">
        <v>34.542499999999997</v>
      </c>
      <c r="M24" s="9">
        <v>12.063700000000001</v>
      </c>
      <c r="N24" s="9">
        <v>4.9444999999999997</v>
      </c>
      <c r="O24" s="9">
        <v>0.37459999999999999</v>
      </c>
      <c r="P24" s="9">
        <v>1.3714999999999999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CONTROL!$C$32, 2.374, 2.3688) * CHOOSE(CONTROL!$C$15, $D$11, 100%, $F$11)</f>
        <v>2.3740000000000001</v>
      </c>
      <c r="C25" s="8">
        <f>CHOOSE( CONTROL!$C$32, 2.3845, 2.3792) * CHOOSE(CONTROL!$C$15, $D$11, 100%, $F$11)</f>
        <v>2.3845000000000001</v>
      </c>
      <c r="D25" s="8">
        <f>CHOOSE( CONTROL!$C$32, 2.3816, 2.3763) * CHOOSE( CONTROL!$C$15, $D$11, 100%, $F$11)</f>
        <v>2.3816000000000002</v>
      </c>
      <c r="E25" s="12">
        <f>CHOOSE( CONTROL!$C$32, 2.3811, 2.3758) * CHOOSE( CONTROL!$C$15, $D$11, 100%, $F$11)</f>
        <v>2.3811</v>
      </c>
      <c r="F25" s="4">
        <f>CHOOSE( CONTROL!$C$32, 3.4095, 3.4042) * CHOOSE(CONTROL!$C$15, $D$11, 100%, $F$11)</f>
        <v>3.4095</v>
      </c>
      <c r="G25" s="8">
        <f>CHOOSE( CONTROL!$C$32, 2.307, 2.3019) * CHOOSE( CONTROL!$C$15, $D$11, 100%, $F$11)</f>
        <v>2.3069999999999999</v>
      </c>
      <c r="H25" s="4">
        <f>CHOOSE( CONTROL!$C$32, 3.2472, 3.2421) * CHOOSE(CONTROL!$C$15, $D$11, 100%, $F$11)</f>
        <v>3.2471999999999999</v>
      </c>
      <c r="I25" s="8">
        <f>CHOOSE( CONTROL!$C$32, 2.3356, 2.3306) * CHOOSE(CONTROL!$C$15, $D$11, 100%, $F$11)</f>
        <v>2.3355999999999999</v>
      </c>
      <c r="J25" s="4">
        <f>CHOOSE( CONTROL!$C$32, 2.27, 2.265) * CHOOSE(CONTROL!$C$15, $D$11, 100%, $F$11)</f>
        <v>2.27</v>
      </c>
      <c r="K25" s="4"/>
      <c r="L25" s="9">
        <v>33.428199999999997</v>
      </c>
      <c r="M25" s="9">
        <v>11.6745</v>
      </c>
      <c r="N25" s="9">
        <v>4.7850000000000001</v>
      </c>
      <c r="O25" s="9">
        <v>0.36249999999999999</v>
      </c>
      <c r="P25" s="9">
        <v>1.3272999999999999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2.4199 * CHOOSE(CONTROL!$C$15, $D$11, 100%, $F$11)</f>
        <v>2.4199000000000002</v>
      </c>
      <c r="C26" s="8">
        <f>2.4303 * CHOOSE(CONTROL!$C$15, $D$11, 100%, $F$11)</f>
        <v>2.4302999999999999</v>
      </c>
      <c r="D26" s="8">
        <f>2.4288 * CHOOSE( CONTROL!$C$15, $D$11, 100%, $F$11)</f>
        <v>2.4287999999999998</v>
      </c>
      <c r="E26" s="12">
        <f>2.4282 * CHOOSE( CONTROL!$C$15, $D$11, 100%, $F$11)</f>
        <v>2.4281999999999999</v>
      </c>
      <c r="F26" s="4">
        <f>3.4553 * CHOOSE(CONTROL!$C$15, $D$11, 100%, $F$11)</f>
        <v>3.4552999999999998</v>
      </c>
      <c r="G26" s="8">
        <f>2.3511 * CHOOSE( CONTROL!$C$15, $D$11, 100%, $F$11)</f>
        <v>2.3511000000000002</v>
      </c>
      <c r="H26" s="4">
        <f>3.2919 * CHOOSE(CONTROL!$C$15, $D$11, 100%, $F$11)</f>
        <v>3.2919</v>
      </c>
      <c r="I26" s="8">
        <f>2.381 * CHOOSE(CONTROL!$C$15, $D$11, 100%, $F$11)</f>
        <v>2.3809999999999998</v>
      </c>
      <c r="J26" s="4">
        <f>2.314 * CHOOSE(CONTROL!$C$15, $D$11, 100%, $F$11)</f>
        <v>2.3140000000000001</v>
      </c>
      <c r="K26" s="4"/>
      <c r="L26" s="9">
        <v>34.3003</v>
      </c>
      <c r="M26" s="9">
        <v>12.063700000000001</v>
      </c>
      <c r="N26" s="9">
        <v>4.9444999999999997</v>
      </c>
      <c r="O26" s="9">
        <v>0.37459999999999999</v>
      </c>
      <c r="P26" s="9">
        <v>1.3714999999999999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2.6036 * CHOOSE(CONTROL!$C$15, $D$11, 100%, $F$11)</f>
        <v>2.6036000000000001</v>
      </c>
      <c r="C27" s="8">
        <f>2.614 * CHOOSE(CONTROL!$C$15, $D$11, 100%, $F$11)</f>
        <v>2.6139999999999999</v>
      </c>
      <c r="D27" s="8">
        <f>2.5978 * CHOOSE( CONTROL!$C$15, $D$11, 100%, $F$11)</f>
        <v>2.5977999999999999</v>
      </c>
      <c r="E27" s="12">
        <f>2.6026 * CHOOSE( CONTROL!$C$15, $D$11, 100%, $F$11)</f>
        <v>2.6025999999999998</v>
      </c>
      <c r="F27" s="4">
        <f>3.5978 * CHOOSE(CONTROL!$C$15, $D$11, 100%, $F$11)</f>
        <v>3.5977999999999999</v>
      </c>
      <c r="G27" s="8">
        <f>2.5512 * CHOOSE( CONTROL!$C$15, $D$11, 100%, $F$11)</f>
        <v>2.5512000000000001</v>
      </c>
      <c r="H27" s="4">
        <f>3.4308 * CHOOSE(CONTROL!$C$15, $D$11, 100%, $F$11)</f>
        <v>3.4308000000000001</v>
      </c>
      <c r="I27" s="8">
        <f>2.594 * CHOOSE(CONTROL!$C$15, $D$11, 100%, $F$11)</f>
        <v>2.5939999999999999</v>
      </c>
      <c r="J27" s="4">
        <f>2.49 * CHOOSE(CONTROL!$C$15, $D$11, 100%, $F$11)</f>
        <v>2.4900000000000002</v>
      </c>
      <c r="K27" s="4"/>
      <c r="L27" s="9">
        <v>28.000499999999999</v>
      </c>
      <c r="M27" s="9">
        <v>11.6745</v>
      </c>
      <c r="N27" s="9">
        <v>4.7850000000000001</v>
      </c>
      <c r="O27" s="9">
        <v>0.36249999999999999</v>
      </c>
      <c r="P27" s="9">
        <v>1.2522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2.8781 * CHOOSE(CONTROL!$C$15, $D$11, 100%, $F$11)</f>
        <v>2.8780999999999999</v>
      </c>
      <c r="C28" s="8">
        <f>2.8885 * CHOOSE(CONTROL!$C$15, $D$11, 100%, $F$11)</f>
        <v>2.8885000000000001</v>
      </c>
      <c r="D28" s="8">
        <f>2.8745 * CHOOSE( CONTROL!$C$15, $D$11, 100%, $F$11)</f>
        <v>2.8744999999999998</v>
      </c>
      <c r="E28" s="12">
        <f>2.8785 * CHOOSE( CONTROL!$C$15, $D$11, 100%, $F$11)</f>
        <v>2.8784999999999998</v>
      </c>
      <c r="F28" s="4">
        <f>3.8723 * CHOOSE(CONTROL!$C$15, $D$11, 100%, $F$11)</f>
        <v>3.8723000000000001</v>
      </c>
      <c r="G28" s="8">
        <f>2.8204 * CHOOSE( CONTROL!$C$15, $D$11, 100%, $F$11)</f>
        <v>2.8203999999999998</v>
      </c>
      <c r="H28" s="4">
        <f>3.6983 * CHOOSE(CONTROL!$C$15, $D$11, 100%, $F$11)</f>
        <v>3.6983000000000001</v>
      </c>
      <c r="I28" s="8">
        <f>2.8647 * CHOOSE(CONTROL!$C$15, $D$11, 100%, $F$11)</f>
        <v>2.8647</v>
      </c>
      <c r="J28" s="4">
        <f>2.753 * CHOOSE(CONTROL!$C$15, $D$11, 100%, $F$11)</f>
        <v>2.7530000000000001</v>
      </c>
      <c r="K28" s="4"/>
      <c r="L28" s="9">
        <v>28.933900000000001</v>
      </c>
      <c r="M28" s="9">
        <v>12.063700000000001</v>
      </c>
      <c r="N28" s="9">
        <v>4.9444999999999997</v>
      </c>
      <c r="O28" s="9">
        <v>0.37459999999999999</v>
      </c>
      <c r="P28" s="9">
        <v>1.2939000000000001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3.0137 * CHOOSE(CONTROL!$C$15, $D$11, 100%, $F$11)</f>
        <v>3.0137</v>
      </c>
      <c r="C29" s="8">
        <f>3.0242 * CHOOSE(CONTROL!$C$15, $D$11, 100%, $F$11)</f>
        <v>3.0242</v>
      </c>
      <c r="D29" s="8">
        <f>3.0235 * CHOOSE( CONTROL!$C$15, $D$11, 100%, $F$11)</f>
        <v>3.0234999999999999</v>
      </c>
      <c r="E29" s="12">
        <f>3.0226 * CHOOSE( CONTROL!$C$15, $D$11, 100%, $F$11)</f>
        <v>3.0226000000000002</v>
      </c>
      <c r="F29" s="4">
        <f>4.0366 * CHOOSE(CONTROL!$C$15, $D$11, 100%, $F$11)</f>
        <v>4.0366</v>
      </c>
      <c r="G29" s="8">
        <f>2.9663 * CHOOSE( CONTROL!$C$15, $D$11, 100%, $F$11)</f>
        <v>2.9662999999999999</v>
      </c>
      <c r="H29" s="4">
        <f>3.8586 * CHOOSE(CONTROL!$C$15, $D$11, 100%, $F$11)</f>
        <v>3.8586</v>
      </c>
      <c r="I29" s="8">
        <f>2.993 * CHOOSE(CONTROL!$C$15, $D$11, 100%, $F$11)</f>
        <v>2.9929999999999999</v>
      </c>
      <c r="J29" s="4">
        <f>2.883 * CHOOSE(CONTROL!$C$15, $D$11, 100%, $F$11)</f>
        <v>2.883</v>
      </c>
      <c r="K29" s="4"/>
      <c r="L29" s="9">
        <v>28.933900000000001</v>
      </c>
      <c r="M29" s="9">
        <v>12.063700000000001</v>
      </c>
      <c r="N29" s="9">
        <v>4.9444999999999997</v>
      </c>
      <c r="O29" s="9">
        <v>0.37459999999999999</v>
      </c>
      <c r="P29" s="9">
        <v>1.2939000000000001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3.0064 * CHOOSE(CONTROL!$C$15, $D$11, 100%, $F$11)</f>
        <v>3.0064000000000002</v>
      </c>
      <c r="C30" s="8">
        <f>3.0169 * CHOOSE(CONTROL!$C$15, $D$11, 100%, $F$11)</f>
        <v>3.0169000000000001</v>
      </c>
      <c r="D30" s="8">
        <f>3.0184 * CHOOSE( CONTROL!$C$15, $D$11, 100%, $F$11)</f>
        <v>3.0184000000000002</v>
      </c>
      <c r="E30" s="12">
        <f>3.0167 * CHOOSE( CONTROL!$C$15, $D$11, 100%, $F$11)</f>
        <v>3.0167000000000002</v>
      </c>
      <c r="F30" s="4">
        <f>4.0215 * CHOOSE(CONTROL!$C$15, $D$11, 100%, $F$11)</f>
        <v>4.0214999999999996</v>
      </c>
      <c r="G30" s="8">
        <f>2.9589 * CHOOSE( CONTROL!$C$15, $D$11, 100%, $F$11)</f>
        <v>2.9588999999999999</v>
      </c>
      <c r="H30" s="4">
        <f>3.8438 * CHOOSE(CONTROL!$C$15, $D$11, 100%, $F$11)</f>
        <v>3.8437999999999999</v>
      </c>
      <c r="I30" s="8">
        <f>2.9751 * CHOOSE(CONTROL!$C$15, $D$11, 100%, $F$11)</f>
        <v>2.9750999999999999</v>
      </c>
      <c r="J30" s="4">
        <f>2.876 * CHOOSE(CONTROL!$C$15, $D$11, 100%, $F$11)</f>
        <v>2.8759999999999999</v>
      </c>
      <c r="K30" s="4"/>
      <c r="L30" s="9">
        <v>26.133800000000001</v>
      </c>
      <c r="M30" s="9">
        <v>10.8962</v>
      </c>
      <c r="N30" s="9">
        <v>4.4660000000000002</v>
      </c>
      <c r="O30" s="9">
        <v>0.33829999999999999</v>
      </c>
      <c r="P30" s="9">
        <v>1.1687000000000001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2.9668 * CHOOSE(CONTROL!$C$15, $D$11, 100%, $F$11)</f>
        <v>2.9668000000000001</v>
      </c>
      <c r="C31" s="8">
        <f>2.9772 * CHOOSE(CONTROL!$C$15, $D$11, 100%, $F$11)</f>
        <v>2.9771999999999998</v>
      </c>
      <c r="D31" s="8">
        <f>2.9582 * CHOOSE( CONTROL!$C$15, $D$11, 100%, $F$11)</f>
        <v>2.9582000000000002</v>
      </c>
      <c r="E31" s="12">
        <f>2.964 * CHOOSE( CONTROL!$C$15, $D$11, 100%, $F$11)</f>
        <v>2.964</v>
      </c>
      <c r="F31" s="4">
        <f>3.9657 * CHOOSE(CONTROL!$C$15, $D$11, 100%, $F$11)</f>
        <v>3.9657</v>
      </c>
      <c r="G31" s="8">
        <f>2.8995 * CHOOSE( CONTROL!$C$15, $D$11, 100%, $F$11)</f>
        <v>2.8995000000000002</v>
      </c>
      <c r="H31" s="4">
        <f>3.7894 * CHOOSE(CONTROL!$C$15, $D$11, 100%, $F$11)</f>
        <v>3.7894000000000001</v>
      </c>
      <c r="I31" s="8">
        <f>2.8976 * CHOOSE(CONTROL!$C$15, $D$11, 100%, $F$11)</f>
        <v>2.8976000000000002</v>
      </c>
      <c r="J31" s="4">
        <f>2.838 * CHOOSE(CONTROL!$C$15, $D$11, 100%, $F$11)</f>
        <v>2.8380000000000001</v>
      </c>
      <c r="K31" s="4"/>
      <c r="L31" s="9">
        <v>28.933900000000001</v>
      </c>
      <c r="M31" s="9">
        <v>12.063700000000001</v>
      </c>
      <c r="N31" s="9">
        <v>4.9444999999999997</v>
      </c>
      <c r="O31" s="9">
        <v>0.37459999999999999</v>
      </c>
      <c r="P31" s="9">
        <v>1.2939000000000001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2.7653 * CHOOSE(CONTROL!$C$15, $D$11, 100%, $F$11)</f>
        <v>2.7652999999999999</v>
      </c>
      <c r="C32" s="8">
        <f>2.7758 * CHOOSE(CONTROL!$C$15, $D$11, 100%, $F$11)</f>
        <v>2.7757999999999998</v>
      </c>
      <c r="D32" s="8">
        <f>2.766 * CHOOSE( CONTROL!$C$15, $D$11, 100%, $F$11)</f>
        <v>2.766</v>
      </c>
      <c r="E32" s="12">
        <f>2.768 * CHOOSE( CONTROL!$C$15, $D$11, 100%, $F$11)</f>
        <v>2.7679999999999998</v>
      </c>
      <c r="F32" s="4">
        <f>3.7726 * CHOOSE(CONTROL!$C$15, $D$11, 100%, $F$11)</f>
        <v>3.7726000000000002</v>
      </c>
      <c r="G32" s="8">
        <f>2.6916 * CHOOSE( CONTROL!$C$15, $D$11, 100%, $F$11)</f>
        <v>2.6916000000000002</v>
      </c>
      <c r="H32" s="4">
        <f>3.6012 * CHOOSE(CONTROL!$C$15, $D$11, 100%, $F$11)</f>
        <v>3.6012</v>
      </c>
      <c r="I32" s="8">
        <f>2.6946 * CHOOSE(CONTROL!$C$15, $D$11, 100%, $F$11)</f>
        <v>2.6945999999999999</v>
      </c>
      <c r="J32" s="4">
        <f>2.645 * CHOOSE(CONTROL!$C$15, $D$11, 100%, $F$11)</f>
        <v>2.645</v>
      </c>
      <c r="K32" s="4"/>
      <c r="L32" s="9">
        <v>29.665800000000001</v>
      </c>
      <c r="M32" s="9">
        <v>11.6745</v>
      </c>
      <c r="N32" s="9">
        <v>4.7850000000000001</v>
      </c>
      <c r="O32" s="9">
        <v>0.36249999999999999</v>
      </c>
      <c r="P32" s="9">
        <v>2.0352000000000001</v>
      </c>
      <c r="Q32" s="9"/>
      <c r="R32" s="9">
        <f t="shared" si="0"/>
        <v>0.4</v>
      </c>
      <c r="S32" s="11"/>
    </row>
    <row r="33" spans="1:19" ht="15" customHeight="1">
      <c r="A33" s="13">
        <v>42856</v>
      </c>
      <c r="B33" s="8">
        <f>CHOOSE( CONTROL!$C$32, 2.7842, 2.7789) * CHOOSE(CONTROL!$C$15, $D$11, 100%, $F$11)</f>
        <v>2.7841999999999998</v>
      </c>
      <c r="C33" s="8">
        <f>CHOOSE( CONTROL!$C$32, 2.7946, 2.7894) * CHOOSE(CONTROL!$C$15, $D$11, 100%, $F$11)</f>
        <v>2.7946</v>
      </c>
      <c r="D33" s="8">
        <f>CHOOSE( CONTROL!$C$32, 2.7918, 2.7865) * CHOOSE( CONTROL!$C$15, $D$11, 100%, $F$11)</f>
        <v>2.7917999999999998</v>
      </c>
      <c r="E33" s="12">
        <f>CHOOSE( CONTROL!$C$32, 2.7912, 2.786) * CHOOSE( CONTROL!$C$15, $D$11, 100%, $F$11)</f>
        <v>2.7911999999999999</v>
      </c>
      <c r="F33" s="4">
        <f>CHOOSE( CONTROL!$C$32, 3.8071, 3.8018) * CHOOSE(CONTROL!$C$15, $D$11, 100%, $F$11)</f>
        <v>3.8071000000000002</v>
      </c>
      <c r="G33" s="8">
        <f>CHOOSE( CONTROL!$C$32, 2.7155, 2.7104) * CHOOSE( CONTROL!$C$15, $D$11, 100%, $F$11)</f>
        <v>2.7155</v>
      </c>
      <c r="H33" s="4">
        <f>CHOOSE( CONTROL!$C$32, 3.6348, 3.6297) * CHOOSE(CONTROL!$C$15, $D$11, 100%, $F$11)</f>
        <v>3.6347999999999998</v>
      </c>
      <c r="I33" s="8">
        <f>CHOOSE( CONTROL!$C$32, 2.7179, 2.7129) * CHOOSE(CONTROL!$C$15, $D$11, 100%, $F$11)</f>
        <v>2.7179000000000002</v>
      </c>
      <c r="J33" s="4">
        <f>CHOOSE( CONTROL!$C$32, 2.663, 2.658) * CHOOSE(CONTROL!$C$15, $D$11, 100%, $F$11)</f>
        <v>2.6629999999999998</v>
      </c>
      <c r="K33" s="4"/>
      <c r="L33" s="9">
        <v>30.896899999999999</v>
      </c>
      <c r="M33" s="9">
        <v>12.063700000000001</v>
      </c>
      <c r="N33" s="9">
        <v>4.9444999999999997</v>
      </c>
      <c r="O33" s="9">
        <v>0.37459999999999999</v>
      </c>
      <c r="P33" s="9">
        <v>2.1030000000000002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CONTROL!$C$32, 2.827, 2.8217) * CHOOSE(CONTROL!$C$15, $D$11, 100%, $F$11)</f>
        <v>2.827</v>
      </c>
      <c r="C34" s="8">
        <f>CHOOSE( CONTROL!$C$32, 2.8374, 2.8321) * CHOOSE(CONTROL!$C$15, $D$11, 100%, $F$11)</f>
        <v>2.8374000000000001</v>
      </c>
      <c r="D34" s="8">
        <f>CHOOSE( CONTROL!$C$32, 2.8402, 2.8349) * CHOOSE( CONTROL!$C$15, $D$11, 100%, $F$11)</f>
        <v>2.8401999999999998</v>
      </c>
      <c r="E34" s="12">
        <f>CHOOSE( CONTROL!$C$32, 2.8376, 2.8323) * CHOOSE( CONTROL!$C$15, $D$11, 100%, $F$11)</f>
        <v>2.8376000000000001</v>
      </c>
      <c r="F34" s="4">
        <f>CHOOSE( CONTROL!$C$32, 3.8624, 3.8571) * CHOOSE(CONTROL!$C$15, $D$11, 100%, $F$11)</f>
        <v>3.8624000000000001</v>
      </c>
      <c r="G34" s="8">
        <f>CHOOSE( CONTROL!$C$32, 2.7611, 2.756) * CHOOSE( CONTROL!$C$15, $D$11, 100%, $F$11)</f>
        <v>2.7610999999999999</v>
      </c>
      <c r="H34" s="4">
        <f>CHOOSE( CONTROL!$C$32, 3.6887, 3.6836) * CHOOSE(CONTROL!$C$15, $D$11, 100%, $F$11)</f>
        <v>3.6886999999999999</v>
      </c>
      <c r="I34" s="8">
        <f>CHOOSE( CONTROL!$C$32, 2.7642, 2.7591) * CHOOSE(CONTROL!$C$15, $D$11, 100%, $F$11)</f>
        <v>2.7642000000000002</v>
      </c>
      <c r="J34" s="4">
        <f>CHOOSE( CONTROL!$C$32, 2.704, 2.699) * CHOOSE(CONTROL!$C$15, $D$11, 100%, $F$11)</f>
        <v>2.7040000000000002</v>
      </c>
      <c r="K34" s="4"/>
      <c r="L34" s="9">
        <v>29.900200000000002</v>
      </c>
      <c r="M34" s="9">
        <v>11.6745</v>
      </c>
      <c r="N34" s="9">
        <v>4.7850000000000001</v>
      </c>
      <c r="O34" s="9">
        <v>0.36249999999999999</v>
      </c>
      <c r="P34" s="9">
        <v>2.0352000000000001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CONTROL!$C$32, 2.8697, 2.8645) * CHOOSE(CONTROL!$C$15, $D$11, 100%, $F$11)</f>
        <v>2.8696999999999999</v>
      </c>
      <c r="C35" s="8">
        <f>CHOOSE( CONTROL!$C$32, 2.8802, 2.8749) * CHOOSE(CONTROL!$C$15, $D$11, 100%, $F$11)</f>
        <v>2.8801999999999999</v>
      </c>
      <c r="D35" s="8">
        <f>CHOOSE( CONTROL!$C$32, 2.8691, 2.8639) * CHOOSE( CONTROL!$C$15, $D$11, 100%, $F$11)</f>
        <v>2.8691</v>
      </c>
      <c r="E35" s="12">
        <f>CHOOSE( CONTROL!$C$32, 2.8715, 2.8663) * CHOOSE( CONTROL!$C$15, $D$11, 100%, $F$11)</f>
        <v>2.8715000000000002</v>
      </c>
      <c r="F35" s="4">
        <f>CHOOSE( CONTROL!$C$32, 3.9052, 3.8999) * CHOOSE(CONTROL!$C$15, $D$11, 100%, $F$11)</f>
        <v>3.9051999999999998</v>
      </c>
      <c r="G35" s="8">
        <f>CHOOSE( CONTROL!$C$32, 2.7896, 2.7844) * CHOOSE( CONTROL!$C$15, $D$11, 100%, $F$11)</f>
        <v>2.7896000000000001</v>
      </c>
      <c r="H35" s="4">
        <f>CHOOSE( CONTROL!$C$32, 3.7304, 3.7253) * CHOOSE(CONTROL!$C$15, $D$11, 100%, $F$11)</f>
        <v>3.7303999999999999</v>
      </c>
      <c r="I35" s="8">
        <f>CHOOSE( CONTROL!$C$32, 2.8086, 2.8035) * CHOOSE(CONTROL!$C$15, $D$11, 100%, $F$11)</f>
        <v>2.8086000000000002</v>
      </c>
      <c r="J35" s="4">
        <f>CHOOSE( CONTROL!$C$32, 2.745, 2.74) * CHOOSE(CONTROL!$C$15, $D$11, 100%, $F$11)</f>
        <v>2.7450000000000001</v>
      </c>
      <c r="K35" s="4"/>
      <c r="L35" s="9">
        <v>30.896899999999999</v>
      </c>
      <c r="M35" s="9">
        <v>12.063700000000001</v>
      </c>
      <c r="N35" s="9">
        <v>4.9444999999999997</v>
      </c>
      <c r="O35" s="9">
        <v>0.37459999999999999</v>
      </c>
      <c r="P35" s="9">
        <v>2.1030000000000002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CONTROL!$C$32, 2.8791, 2.8739) * CHOOSE(CONTROL!$C$15, $D$11, 100%, $F$11)</f>
        <v>2.8791000000000002</v>
      </c>
      <c r="C36" s="8">
        <f>CHOOSE( CONTROL!$C$32, 2.8896, 2.8843) * CHOOSE(CONTROL!$C$15, $D$11, 100%, $F$11)</f>
        <v>2.8896000000000002</v>
      </c>
      <c r="D36" s="8">
        <f>CHOOSE( CONTROL!$C$32, 2.879, 2.8737) * CHOOSE( CONTROL!$C$15, $D$11, 100%, $F$11)</f>
        <v>2.879</v>
      </c>
      <c r="E36" s="12">
        <f>CHOOSE( CONTROL!$C$32, 2.8812, 2.876) * CHOOSE( CONTROL!$C$15, $D$11, 100%, $F$11)</f>
        <v>2.8812000000000002</v>
      </c>
      <c r="F36" s="4">
        <f>CHOOSE( CONTROL!$C$32, 3.9146, 3.9093) * CHOOSE(CONTROL!$C$15, $D$11, 100%, $F$11)</f>
        <v>3.9146000000000001</v>
      </c>
      <c r="G36" s="8">
        <f>CHOOSE( CONTROL!$C$32, 2.7992, 2.7941) * CHOOSE( CONTROL!$C$15, $D$11, 100%, $F$11)</f>
        <v>2.7991999999999999</v>
      </c>
      <c r="H36" s="4">
        <f>CHOOSE( CONTROL!$C$32, 3.7396, 3.7344) * CHOOSE(CONTROL!$C$15, $D$11, 100%, $F$11)</f>
        <v>3.7395999999999998</v>
      </c>
      <c r="I36" s="8">
        <f>CHOOSE( CONTROL!$C$32, 2.8192, 2.8141) * CHOOSE(CONTROL!$C$15, $D$11, 100%, $F$11)</f>
        <v>2.8191999999999999</v>
      </c>
      <c r="J36" s="4">
        <f>CHOOSE( CONTROL!$C$32, 2.754, 2.749) * CHOOSE(CONTROL!$C$15, $D$11, 100%, $F$11)</f>
        <v>2.754</v>
      </c>
      <c r="K36" s="4"/>
      <c r="L36" s="9">
        <v>30.896899999999999</v>
      </c>
      <c r="M36" s="9">
        <v>12.063700000000001</v>
      </c>
      <c r="N36" s="9">
        <v>4.9444999999999997</v>
      </c>
      <c r="O36" s="9">
        <v>0.37459999999999999</v>
      </c>
      <c r="P36" s="9">
        <v>2.1030000000000002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CONTROL!$C$32, 2.8708, 2.8655) * CHOOSE(CONTROL!$C$15, $D$11, 100%, $F$11)</f>
        <v>2.8708</v>
      </c>
      <c r="C37" s="8">
        <f>CHOOSE( CONTROL!$C$32, 2.8812, 2.876) * CHOOSE(CONTROL!$C$15, $D$11, 100%, $F$11)</f>
        <v>2.8812000000000002</v>
      </c>
      <c r="D37" s="8">
        <f>CHOOSE( CONTROL!$C$32, 2.8709, 2.8656) * CHOOSE( CONTROL!$C$15, $D$11, 100%, $F$11)</f>
        <v>2.8708999999999998</v>
      </c>
      <c r="E37" s="12">
        <f>CHOOSE( CONTROL!$C$32, 2.873, 2.8678) * CHOOSE( CONTROL!$C$15, $D$11, 100%, $F$11)</f>
        <v>2.8730000000000002</v>
      </c>
      <c r="F37" s="4">
        <f>CHOOSE( CONTROL!$C$32, 3.9062, 3.901) * CHOOSE(CONTROL!$C$15, $D$11, 100%, $F$11)</f>
        <v>3.9062000000000001</v>
      </c>
      <c r="G37" s="8">
        <f>CHOOSE( CONTROL!$C$32, 2.7913, 2.7862) * CHOOSE( CONTROL!$C$15, $D$11, 100%, $F$11)</f>
        <v>2.7913000000000001</v>
      </c>
      <c r="H37" s="4">
        <f>CHOOSE( CONTROL!$C$32, 3.7314, 3.7263) * CHOOSE(CONTROL!$C$15, $D$11, 100%, $F$11)</f>
        <v>3.7313999999999998</v>
      </c>
      <c r="I37" s="8">
        <f>CHOOSE( CONTROL!$C$32, 2.8119, 2.8068) * CHOOSE(CONTROL!$C$15, $D$11, 100%, $F$11)</f>
        <v>2.8119000000000001</v>
      </c>
      <c r="J37" s="4">
        <f>CHOOSE( CONTROL!$C$32, 2.746, 2.741) * CHOOSE(CONTROL!$C$15, $D$11, 100%, $F$11)</f>
        <v>2.746</v>
      </c>
      <c r="K37" s="4"/>
      <c r="L37" s="9">
        <v>29.900200000000002</v>
      </c>
      <c r="M37" s="9">
        <v>11.6745</v>
      </c>
      <c r="N37" s="9">
        <v>4.7850000000000001</v>
      </c>
      <c r="O37" s="9">
        <v>0.36249999999999999</v>
      </c>
      <c r="P37" s="9">
        <v>2.0352000000000001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2.8906 * CHOOSE(CONTROL!$C$15, $D$11, 100%, $F$11)</f>
        <v>2.8906000000000001</v>
      </c>
      <c r="C38" s="8">
        <f>2.901 * CHOOSE(CONTROL!$C$15, $D$11, 100%, $F$11)</f>
        <v>2.9009999999999998</v>
      </c>
      <c r="D38" s="8">
        <f>2.8916 * CHOOSE( CONTROL!$C$15, $D$11, 100%, $F$11)</f>
        <v>2.8915999999999999</v>
      </c>
      <c r="E38" s="12">
        <f>2.8936 * CHOOSE( CONTROL!$C$15, $D$11, 100%, $F$11)</f>
        <v>2.8936000000000002</v>
      </c>
      <c r="F38" s="4">
        <f>3.926 * CHOOSE(CONTROL!$C$15, $D$11, 100%, $F$11)</f>
        <v>3.9260000000000002</v>
      </c>
      <c r="G38" s="8">
        <f>2.8099 * CHOOSE( CONTROL!$C$15, $D$11, 100%, $F$11)</f>
        <v>2.8098999999999998</v>
      </c>
      <c r="H38" s="4">
        <f>3.7507 * CHOOSE(CONTROL!$C$15, $D$11, 100%, $F$11)</f>
        <v>3.7507000000000001</v>
      </c>
      <c r="I38" s="8">
        <f>2.8323 * CHOOSE(CONTROL!$C$15, $D$11, 100%, $F$11)</f>
        <v>2.8323</v>
      </c>
      <c r="J38" s="4">
        <f>2.765 * CHOOSE(CONTROL!$C$15, $D$11, 100%, $F$11)</f>
        <v>2.7650000000000001</v>
      </c>
      <c r="K38" s="4"/>
      <c r="L38" s="9">
        <v>30.654699999999998</v>
      </c>
      <c r="M38" s="9">
        <v>12.063700000000001</v>
      </c>
      <c r="N38" s="9">
        <v>4.9444999999999997</v>
      </c>
      <c r="O38" s="9">
        <v>0.37459999999999999</v>
      </c>
      <c r="P38" s="9">
        <v>2.1030000000000002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2.9626 * CHOOSE(CONTROL!$C$15, $D$11, 100%, $F$11)</f>
        <v>2.9626000000000001</v>
      </c>
      <c r="C39" s="8">
        <f>2.973 * CHOOSE(CONTROL!$C$15, $D$11, 100%, $F$11)</f>
        <v>2.9729999999999999</v>
      </c>
      <c r="D39" s="8">
        <f>2.9568 * CHOOSE( CONTROL!$C$15, $D$11, 100%, $F$11)</f>
        <v>2.9567999999999999</v>
      </c>
      <c r="E39" s="12">
        <f>2.9616 * CHOOSE( CONTROL!$C$15, $D$11, 100%, $F$11)</f>
        <v>2.9615999999999998</v>
      </c>
      <c r="F39" s="4">
        <f>3.9568 * CHOOSE(CONTROL!$C$15, $D$11, 100%, $F$11)</f>
        <v>3.9567999999999999</v>
      </c>
      <c r="G39" s="8">
        <f>2.9011 * CHOOSE( CONTROL!$C$15, $D$11, 100%, $F$11)</f>
        <v>2.9011</v>
      </c>
      <c r="H39" s="4">
        <f>3.7807 * CHOOSE(CONTROL!$C$15, $D$11, 100%, $F$11)</f>
        <v>3.7806999999999999</v>
      </c>
      <c r="I39" s="8">
        <f>2.9381 * CHOOSE(CONTROL!$C$15, $D$11, 100%, $F$11)</f>
        <v>2.9380999999999999</v>
      </c>
      <c r="J39" s="4">
        <f>2.834 * CHOOSE(CONTROL!$C$15, $D$11, 100%, $F$11)</f>
        <v>2.8340000000000001</v>
      </c>
      <c r="K39" s="4"/>
      <c r="L39" s="9">
        <v>28.000499999999999</v>
      </c>
      <c r="M39" s="9">
        <v>11.6745</v>
      </c>
      <c r="N39" s="9">
        <v>4.7850000000000001</v>
      </c>
      <c r="O39" s="9">
        <v>0.36249999999999999</v>
      </c>
      <c r="P39" s="9">
        <v>1.2522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3.117 * CHOOSE(CONTROL!$C$15, $D$11, 100%, $F$11)</f>
        <v>3.117</v>
      </c>
      <c r="C40" s="8">
        <f>3.1275 * CHOOSE(CONTROL!$C$15, $D$11, 100%, $F$11)</f>
        <v>3.1274999999999999</v>
      </c>
      <c r="D40" s="8">
        <f>3.1135 * CHOOSE( CONTROL!$C$15, $D$11, 100%, $F$11)</f>
        <v>3.1135000000000002</v>
      </c>
      <c r="E40" s="12">
        <f>3.1175 * CHOOSE( CONTROL!$C$15, $D$11, 100%, $F$11)</f>
        <v>3.1175000000000002</v>
      </c>
      <c r="F40" s="4">
        <f>4.1113 * CHOOSE(CONTROL!$C$15, $D$11, 100%, $F$11)</f>
        <v>4.1113</v>
      </c>
      <c r="G40" s="8">
        <f>3.0534 * CHOOSE( CONTROL!$C$15, $D$11, 100%, $F$11)</f>
        <v>3.0533999999999999</v>
      </c>
      <c r="H40" s="4">
        <f>3.9313 * CHOOSE(CONTROL!$C$15, $D$11, 100%, $F$11)</f>
        <v>3.9312999999999998</v>
      </c>
      <c r="I40" s="8">
        <f>3.0938 * CHOOSE(CONTROL!$C$15, $D$11, 100%, $F$11)</f>
        <v>3.0937999999999999</v>
      </c>
      <c r="J40" s="4">
        <f>2.982 * CHOOSE(CONTROL!$C$15, $D$11, 100%, $F$11)</f>
        <v>2.9820000000000002</v>
      </c>
      <c r="K40" s="4"/>
      <c r="L40" s="9">
        <v>28.933900000000001</v>
      </c>
      <c r="M40" s="9">
        <v>12.063700000000001</v>
      </c>
      <c r="N40" s="9">
        <v>4.9444999999999997</v>
      </c>
      <c r="O40" s="9">
        <v>0.37459999999999999</v>
      </c>
      <c r="P40" s="9">
        <v>1.2939000000000001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3.2214 * CHOOSE(CONTROL!$C$15, $D$11, 100%, $F$11)</f>
        <v>3.2214</v>
      </c>
      <c r="C41" s="8">
        <f>3.2318 * CHOOSE(CONTROL!$C$15, $D$11, 100%, $F$11)</f>
        <v>3.2317999999999998</v>
      </c>
      <c r="D41" s="8">
        <f>3.2312 * CHOOSE( CONTROL!$C$15, $D$11, 100%, $F$11)</f>
        <v>3.2311999999999999</v>
      </c>
      <c r="E41" s="12">
        <f>3.2303 * CHOOSE( CONTROL!$C$15, $D$11, 100%, $F$11)</f>
        <v>3.2303000000000002</v>
      </c>
      <c r="F41" s="4">
        <f>4.2443 * CHOOSE(CONTROL!$C$15, $D$11, 100%, $F$11)</f>
        <v>4.2443</v>
      </c>
      <c r="G41" s="8">
        <f>3.1687 * CHOOSE( CONTROL!$C$15, $D$11, 100%, $F$11)</f>
        <v>3.1686999999999999</v>
      </c>
      <c r="H41" s="4">
        <f>4.061 * CHOOSE(CONTROL!$C$15, $D$11, 100%, $F$11)</f>
        <v>4.0609999999999999</v>
      </c>
      <c r="I41" s="8">
        <f>3.1921 * CHOOSE(CONTROL!$C$15, $D$11, 100%, $F$11)</f>
        <v>3.1920999999999999</v>
      </c>
      <c r="J41" s="4">
        <f>3.082 * CHOOSE(CONTROL!$C$15, $D$11, 100%, $F$11)</f>
        <v>3.0819999999999999</v>
      </c>
      <c r="K41" s="4"/>
      <c r="L41" s="9">
        <v>28.933900000000001</v>
      </c>
      <c r="M41" s="9">
        <v>12.063700000000001</v>
      </c>
      <c r="N41" s="9">
        <v>4.9444999999999997</v>
      </c>
      <c r="O41" s="9">
        <v>0.37459999999999999</v>
      </c>
      <c r="P41" s="9">
        <v>1.2939000000000001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3.2058 * CHOOSE(CONTROL!$C$15, $D$11, 100%, $F$11)</f>
        <v>3.2058</v>
      </c>
      <c r="C42" s="8">
        <f>3.2162 * CHOOSE(CONTROL!$C$15, $D$11, 100%, $F$11)</f>
        <v>3.2162000000000002</v>
      </c>
      <c r="D42" s="8">
        <f>3.2177 * CHOOSE( CONTROL!$C$15, $D$11, 100%, $F$11)</f>
        <v>3.2176999999999998</v>
      </c>
      <c r="E42" s="12">
        <f>3.216 * CHOOSE( CONTROL!$C$15, $D$11, 100%, $F$11)</f>
        <v>3.2160000000000002</v>
      </c>
      <c r="F42" s="4">
        <f>4.2208 * CHOOSE(CONTROL!$C$15, $D$11, 100%, $F$11)</f>
        <v>4.2207999999999997</v>
      </c>
      <c r="G42" s="8">
        <f>3.1532 * CHOOSE( CONTROL!$C$15, $D$11, 100%, $F$11)</f>
        <v>3.1532</v>
      </c>
      <c r="H42" s="4">
        <f>4.0381 * CHOOSE(CONTROL!$C$15, $D$11, 100%, $F$11)</f>
        <v>4.0381</v>
      </c>
      <c r="I42" s="8">
        <f>3.1662 * CHOOSE(CONTROL!$C$15, $D$11, 100%, $F$11)</f>
        <v>3.1661999999999999</v>
      </c>
      <c r="J42" s="4">
        <f>3.067 * CHOOSE(CONTROL!$C$15, $D$11, 100%, $F$11)</f>
        <v>3.0670000000000002</v>
      </c>
      <c r="K42" s="4"/>
      <c r="L42" s="9">
        <v>26.133800000000001</v>
      </c>
      <c r="M42" s="9">
        <v>10.8962</v>
      </c>
      <c r="N42" s="9">
        <v>4.4660000000000002</v>
      </c>
      <c r="O42" s="9">
        <v>0.33829999999999999</v>
      </c>
      <c r="P42" s="9">
        <v>1.1687000000000001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3.1431 * CHOOSE(CONTROL!$C$15, $D$11, 100%, $F$11)</f>
        <v>3.1431</v>
      </c>
      <c r="C43" s="8">
        <f>3.1536 * CHOOSE(CONTROL!$C$15, $D$11, 100%, $F$11)</f>
        <v>3.1536</v>
      </c>
      <c r="D43" s="8">
        <f>3.1346 * CHOOSE( CONTROL!$C$15, $D$11, 100%, $F$11)</f>
        <v>3.1345999999999998</v>
      </c>
      <c r="E43" s="12">
        <f>3.1404 * CHOOSE( CONTROL!$C$15, $D$11, 100%, $F$11)</f>
        <v>3.1404000000000001</v>
      </c>
      <c r="F43" s="4">
        <f>4.142 * CHOOSE(CONTROL!$C$15, $D$11, 100%, $F$11)</f>
        <v>4.1420000000000003</v>
      </c>
      <c r="G43" s="8">
        <f>3.0715 * CHOOSE( CONTROL!$C$15, $D$11, 100%, $F$11)</f>
        <v>3.0714999999999999</v>
      </c>
      <c r="H43" s="4">
        <f>3.9613 * CHOOSE(CONTROL!$C$15, $D$11, 100%, $F$11)</f>
        <v>3.9613</v>
      </c>
      <c r="I43" s="8">
        <f>3.0666 * CHOOSE(CONTROL!$C$15, $D$11, 100%, $F$11)</f>
        <v>3.0666000000000002</v>
      </c>
      <c r="J43" s="4">
        <f>3.007 * CHOOSE(CONTROL!$C$15, $D$11, 100%, $F$11)</f>
        <v>3.0070000000000001</v>
      </c>
      <c r="K43" s="4"/>
      <c r="L43" s="9">
        <v>28.933900000000001</v>
      </c>
      <c r="M43" s="9">
        <v>12.063700000000001</v>
      </c>
      <c r="N43" s="9">
        <v>4.9444999999999997</v>
      </c>
      <c r="O43" s="9">
        <v>0.37459999999999999</v>
      </c>
      <c r="P43" s="9">
        <v>1.2939000000000001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2.8488 * CHOOSE(CONTROL!$C$15, $D$11, 100%, $F$11)</f>
        <v>2.8488000000000002</v>
      </c>
      <c r="C44" s="8">
        <f>2.8593 * CHOOSE(CONTROL!$C$15, $D$11, 100%, $F$11)</f>
        <v>2.8593000000000002</v>
      </c>
      <c r="D44" s="8">
        <f>2.8633 * CHOOSE( CONTROL!$C$15, $D$11, 100%, $F$11)</f>
        <v>2.8633000000000002</v>
      </c>
      <c r="E44" s="12">
        <f>2.8608 * CHOOSE( CONTROL!$C$15, $D$11, 100%, $F$11)</f>
        <v>2.8607999999999998</v>
      </c>
      <c r="F44" s="4">
        <f>3.8561 * CHOOSE(CONTROL!$C$15, $D$11, 100%, $F$11)</f>
        <v>3.8561000000000001</v>
      </c>
      <c r="G44" s="8">
        <f>2.773 * CHOOSE( CONTROL!$C$15, $D$11, 100%, $F$11)</f>
        <v>2.7730000000000001</v>
      </c>
      <c r="H44" s="4">
        <f>3.6826 * CHOOSE(CONTROL!$C$15, $D$11, 100%, $F$11)</f>
        <v>3.6825999999999999</v>
      </c>
      <c r="I44" s="8">
        <f>2.7746 * CHOOSE(CONTROL!$C$15, $D$11, 100%, $F$11)</f>
        <v>2.7746</v>
      </c>
      <c r="J44" s="4">
        <f>2.725 * CHOOSE(CONTROL!$C$15, $D$11, 100%, $F$11)</f>
        <v>2.7250000000000001</v>
      </c>
      <c r="K44" s="4"/>
      <c r="L44" s="9">
        <v>29.665800000000001</v>
      </c>
      <c r="M44" s="9">
        <v>11.6745</v>
      </c>
      <c r="N44" s="9">
        <v>4.7850000000000001</v>
      </c>
      <c r="O44" s="9">
        <v>0.36249999999999999</v>
      </c>
      <c r="P44" s="9">
        <v>1.1798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CONTROL!$C$32, 2.852, 2.8468) * CHOOSE(CONTROL!$C$15, $D$11, 100%, $F$11)</f>
        <v>2.8519999999999999</v>
      </c>
      <c r="C45" s="8">
        <f>CHOOSE( CONTROL!$C$32, 2.8624, 2.8572) * CHOOSE(CONTROL!$C$15, $D$11, 100%, $F$11)</f>
        <v>2.8624000000000001</v>
      </c>
      <c r="D45" s="8">
        <f>CHOOSE( CONTROL!$C$32, 2.8753, 2.87) * CHOOSE( CONTROL!$C$15, $D$11, 100%, $F$11)</f>
        <v>2.8753000000000002</v>
      </c>
      <c r="E45" s="12">
        <f>CHOOSE( CONTROL!$C$32, 2.869, 2.8638) * CHOOSE( CONTROL!$C$15, $D$11, 100%, $F$11)</f>
        <v>2.8690000000000002</v>
      </c>
      <c r="F45" s="4">
        <f>CHOOSE( CONTROL!$C$32, 3.8749, 3.8697) * CHOOSE(CONTROL!$C$15, $D$11, 100%, $F$11)</f>
        <v>3.8748999999999998</v>
      </c>
      <c r="G45" s="8">
        <f>CHOOSE( CONTROL!$C$32, 2.7816, 2.7765) * CHOOSE( CONTROL!$C$15, $D$11, 100%, $F$11)</f>
        <v>2.7816000000000001</v>
      </c>
      <c r="H45" s="4">
        <f>CHOOSE( CONTROL!$C$32, 3.7009, 3.6958) * CHOOSE(CONTROL!$C$15, $D$11, 100%, $F$11)</f>
        <v>3.7008999999999999</v>
      </c>
      <c r="I45" s="8">
        <f>CHOOSE( CONTROL!$C$32, 2.7829, 2.7779) * CHOOSE(CONTROL!$C$15, $D$11, 100%, $F$11)</f>
        <v>2.7829000000000002</v>
      </c>
      <c r="J45" s="4">
        <f>CHOOSE( CONTROL!$C$32, 2.728, 2.723) * CHOOSE(CONTROL!$C$15, $D$11, 100%, $F$11)</f>
        <v>2.7280000000000002</v>
      </c>
      <c r="K45" s="4"/>
      <c r="L45" s="9">
        <v>30.896899999999999</v>
      </c>
      <c r="M45" s="9">
        <v>12.063700000000001</v>
      </c>
      <c r="N45" s="9">
        <v>4.9444999999999997</v>
      </c>
      <c r="O45" s="9">
        <v>0.37459999999999999</v>
      </c>
      <c r="P45" s="9">
        <v>1.2192000000000001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CONTROL!$C$32, 2.8875, 2.8822) * CHOOSE(CONTROL!$C$15, $D$11, 100%, $F$11)</f>
        <v>2.8875000000000002</v>
      </c>
      <c r="C46" s="8">
        <f>CHOOSE( CONTROL!$C$32, 2.8979, 2.8927) * CHOOSE(CONTROL!$C$15, $D$11, 100%, $F$11)</f>
        <v>2.8978999999999999</v>
      </c>
      <c r="D46" s="8">
        <f>CHOOSE( CONTROL!$C$32, 2.9184, 2.9131) * CHOOSE( CONTROL!$C$15, $D$11, 100%, $F$11)</f>
        <v>2.9184000000000001</v>
      </c>
      <c r="E46" s="12">
        <f>CHOOSE( CONTROL!$C$32, 2.9094, 2.9041) * CHOOSE( CONTROL!$C$15, $D$11, 100%, $F$11)</f>
        <v>2.9094000000000002</v>
      </c>
      <c r="F46" s="4">
        <f>CHOOSE( CONTROL!$C$32, 3.9229, 3.9177) * CHOOSE(CONTROL!$C$15, $D$11, 100%, $F$11)</f>
        <v>3.9228999999999998</v>
      </c>
      <c r="G46" s="8">
        <f>CHOOSE( CONTROL!$C$32, 2.8201, 2.815) * CHOOSE( CONTROL!$C$15, $D$11, 100%, $F$11)</f>
        <v>2.8201000000000001</v>
      </c>
      <c r="H46" s="4">
        <f>CHOOSE( CONTROL!$C$32, 3.7477, 3.7426) * CHOOSE(CONTROL!$C$15, $D$11, 100%, $F$11)</f>
        <v>3.7477</v>
      </c>
      <c r="I46" s="8">
        <f>CHOOSE( CONTROL!$C$32, 2.8222, 2.8171) * CHOOSE(CONTROL!$C$15, $D$11, 100%, $F$11)</f>
        <v>2.8222</v>
      </c>
      <c r="J46" s="4">
        <f>CHOOSE( CONTROL!$C$32, 2.762, 2.757) * CHOOSE(CONTROL!$C$15, $D$11, 100%, $F$11)</f>
        <v>2.762</v>
      </c>
      <c r="K46" s="4"/>
      <c r="L46" s="9">
        <v>29.900200000000002</v>
      </c>
      <c r="M46" s="9">
        <v>11.6745</v>
      </c>
      <c r="N46" s="9">
        <v>4.7850000000000001</v>
      </c>
      <c r="O46" s="9">
        <v>0.36249999999999999</v>
      </c>
      <c r="P46" s="9">
        <v>1.1798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CONTROL!$C$32, 2.9261, 2.9208) * CHOOSE(CONTROL!$C$15, $D$11, 100%, $F$11)</f>
        <v>2.9260999999999999</v>
      </c>
      <c r="C47" s="8">
        <f>CHOOSE( CONTROL!$C$32, 2.9365, 2.9313) * CHOOSE(CONTROL!$C$15, $D$11, 100%, $F$11)</f>
        <v>2.9365000000000001</v>
      </c>
      <c r="D47" s="8">
        <f>CHOOSE( CONTROL!$C$32, 2.9471, 2.9419) * CHOOSE( CONTROL!$C$15, $D$11, 100%, $F$11)</f>
        <v>2.9470999999999998</v>
      </c>
      <c r="E47" s="12">
        <f>CHOOSE( CONTROL!$C$32, 2.9417, 2.9365) * CHOOSE( CONTROL!$C$15, $D$11, 100%, $F$11)</f>
        <v>2.9417</v>
      </c>
      <c r="F47" s="4">
        <f>CHOOSE( CONTROL!$C$32, 3.9615, 3.9563) * CHOOSE(CONTROL!$C$15, $D$11, 100%, $F$11)</f>
        <v>3.9615</v>
      </c>
      <c r="G47" s="8">
        <f>CHOOSE( CONTROL!$C$32, 2.8445, 2.8394) * CHOOSE( CONTROL!$C$15, $D$11, 100%, $F$11)</f>
        <v>2.8445</v>
      </c>
      <c r="H47" s="4">
        <f>CHOOSE( CONTROL!$C$32, 3.7853, 3.7802) * CHOOSE(CONTROL!$C$15, $D$11, 100%, $F$11)</f>
        <v>3.7852999999999999</v>
      </c>
      <c r="I47" s="8">
        <f>CHOOSE( CONTROL!$C$32, 2.8626, 2.8575) * CHOOSE(CONTROL!$C$15, $D$11, 100%, $F$11)</f>
        <v>2.8626</v>
      </c>
      <c r="J47" s="4">
        <f>CHOOSE( CONTROL!$C$32, 2.799, 2.794) * CHOOSE(CONTROL!$C$15, $D$11, 100%, $F$11)</f>
        <v>2.7989999999999999</v>
      </c>
      <c r="K47" s="4"/>
      <c r="L47" s="9">
        <v>30.896899999999999</v>
      </c>
      <c r="M47" s="9">
        <v>12.063700000000001</v>
      </c>
      <c r="N47" s="9">
        <v>4.9444999999999997</v>
      </c>
      <c r="O47" s="9">
        <v>0.37459999999999999</v>
      </c>
      <c r="P47" s="9">
        <v>1.2192000000000001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CONTROL!$C$32, 2.9313, 2.9261) * CHOOSE(CONTROL!$C$15, $D$11, 100%, $F$11)</f>
        <v>2.9312999999999998</v>
      </c>
      <c r="C48" s="8">
        <f>CHOOSE( CONTROL!$C$32, 2.9418, 2.9365) * CHOOSE(CONTROL!$C$15, $D$11, 100%, $F$11)</f>
        <v>2.9418000000000002</v>
      </c>
      <c r="D48" s="8">
        <f>CHOOSE( CONTROL!$C$32, 2.9527, 2.9474) * CHOOSE( CONTROL!$C$15, $D$11, 100%, $F$11)</f>
        <v>2.9527000000000001</v>
      </c>
      <c r="E48" s="12">
        <f>CHOOSE( CONTROL!$C$32, 2.9471, 2.9419) * CHOOSE( CONTROL!$C$15, $D$11, 100%, $F$11)</f>
        <v>2.9470999999999998</v>
      </c>
      <c r="F48" s="4">
        <f>CHOOSE( CONTROL!$C$32, 3.9668, 3.9615) * CHOOSE(CONTROL!$C$15, $D$11, 100%, $F$11)</f>
        <v>3.9668000000000001</v>
      </c>
      <c r="G48" s="8">
        <f>CHOOSE( CONTROL!$C$32, 2.8501, 2.8449) * CHOOSE( CONTROL!$C$15, $D$11, 100%, $F$11)</f>
        <v>2.8500999999999999</v>
      </c>
      <c r="H48" s="4">
        <f>CHOOSE( CONTROL!$C$32, 3.7904, 3.7853) * CHOOSE(CONTROL!$C$15, $D$11, 100%, $F$11)</f>
        <v>3.7904</v>
      </c>
      <c r="I48" s="8">
        <f>CHOOSE( CONTROL!$C$32, 2.8692, 2.8642) * CHOOSE(CONTROL!$C$15, $D$11, 100%, $F$11)</f>
        <v>2.8692000000000002</v>
      </c>
      <c r="J48" s="4">
        <f>CHOOSE( CONTROL!$C$32, 2.804, 2.799) * CHOOSE(CONTROL!$C$15, $D$11, 100%, $F$11)</f>
        <v>2.8039999999999998</v>
      </c>
      <c r="K48" s="4"/>
      <c r="L48" s="9">
        <v>30.896899999999999</v>
      </c>
      <c r="M48" s="9">
        <v>12.063700000000001</v>
      </c>
      <c r="N48" s="9">
        <v>4.9444999999999997</v>
      </c>
      <c r="O48" s="9">
        <v>0.37459999999999999</v>
      </c>
      <c r="P48" s="9">
        <v>1.2192000000000001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CONTROL!$C$32, 2.9209, 2.9156) * CHOOSE(CONTROL!$C$15, $D$11, 100%, $F$11)</f>
        <v>2.9209000000000001</v>
      </c>
      <c r="C49" s="8">
        <f>CHOOSE( CONTROL!$C$32, 2.9313, 2.9261) * CHOOSE(CONTROL!$C$15, $D$11, 100%, $F$11)</f>
        <v>2.9312999999999998</v>
      </c>
      <c r="D49" s="8">
        <f>CHOOSE( CONTROL!$C$32, 2.9424, 2.9371) * CHOOSE( CONTROL!$C$15, $D$11, 100%, $F$11)</f>
        <v>2.9424000000000001</v>
      </c>
      <c r="E49" s="12">
        <f>CHOOSE( CONTROL!$C$32, 2.9368, 2.9315) * CHOOSE( CONTROL!$C$15, $D$11, 100%, $F$11)</f>
        <v>2.9367999999999999</v>
      </c>
      <c r="F49" s="4">
        <f>CHOOSE( CONTROL!$C$32, 3.9563, 3.9511) * CHOOSE(CONTROL!$C$15, $D$11, 100%, $F$11)</f>
        <v>3.9563000000000001</v>
      </c>
      <c r="G49" s="8">
        <f>CHOOSE( CONTROL!$C$32, 2.8401, 2.835) * CHOOSE( CONTROL!$C$15, $D$11, 100%, $F$11)</f>
        <v>2.8401000000000001</v>
      </c>
      <c r="H49" s="4">
        <f>CHOOSE( CONTROL!$C$32, 3.7803, 3.7751) * CHOOSE(CONTROL!$C$15, $D$11, 100%, $F$11)</f>
        <v>3.7803</v>
      </c>
      <c r="I49" s="8">
        <f>CHOOSE( CONTROL!$C$32, 2.8599, 2.8549) * CHOOSE(CONTROL!$C$15, $D$11, 100%, $F$11)</f>
        <v>2.8599000000000001</v>
      </c>
      <c r="J49" s="4">
        <f>CHOOSE( CONTROL!$C$32, 2.794, 2.789) * CHOOSE(CONTROL!$C$15, $D$11, 100%, $F$11)</f>
        <v>2.794</v>
      </c>
      <c r="K49" s="4"/>
      <c r="L49" s="9">
        <v>29.900200000000002</v>
      </c>
      <c r="M49" s="9">
        <v>11.6745</v>
      </c>
      <c r="N49" s="9">
        <v>4.7850000000000001</v>
      </c>
      <c r="O49" s="9">
        <v>0.36249999999999999</v>
      </c>
      <c r="P49" s="9">
        <v>1.1798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2.9365 * CHOOSE(CONTROL!$C$15, $D$11, 100%, $F$11)</f>
        <v>2.9365000000000001</v>
      </c>
      <c r="C50" s="8">
        <f>2.9469 * CHOOSE(CONTROL!$C$15, $D$11, 100%, $F$11)</f>
        <v>2.9468999999999999</v>
      </c>
      <c r="D50" s="8">
        <f>2.9593 * CHOOSE( CONTROL!$C$15, $D$11, 100%, $F$11)</f>
        <v>2.9592999999999998</v>
      </c>
      <c r="E50" s="12">
        <f>2.9541 * CHOOSE( CONTROL!$C$15, $D$11, 100%, $F$11)</f>
        <v>2.9540999999999999</v>
      </c>
      <c r="F50" s="4">
        <f>3.9719 * CHOOSE(CONTROL!$C$15, $D$11, 100%, $F$11)</f>
        <v>3.9719000000000002</v>
      </c>
      <c r="G50" s="8">
        <f>2.8547 * CHOOSE( CONTROL!$C$15, $D$11, 100%, $F$11)</f>
        <v>2.8546999999999998</v>
      </c>
      <c r="H50" s="4">
        <f>3.7955 * CHOOSE(CONTROL!$C$15, $D$11, 100%, $F$11)</f>
        <v>3.7955000000000001</v>
      </c>
      <c r="I50" s="8">
        <f>2.8763 * CHOOSE(CONTROL!$C$15, $D$11, 100%, $F$11)</f>
        <v>2.8763000000000001</v>
      </c>
      <c r="J50" s="4">
        <f>2.809 * CHOOSE(CONTROL!$C$15, $D$11, 100%, $F$11)</f>
        <v>2.8090000000000002</v>
      </c>
      <c r="K50" s="4"/>
      <c r="L50" s="9">
        <v>30.654699999999998</v>
      </c>
      <c r="M50" s="9">
        <v>12.063700000000001</v>
      </c>
      <c r="N50" s="9">
        <v>4.9444999999999997</v>
      </c>
      <c r="O50" s="9">
        <v>0.37459999999999999</v>
      </c>
      <c r="P50" s="9">
        <v>1.2192000000000001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3.0096 * CHOOSE(CONTROL!$C$15, $D$11, 100%, $F$11)</f>
        <v>3.0095999999999998</v>
      </c>
      <c r="C51" s="8">
        <f>3.02 * CHOOSE(CONTROL!$C$15, $D$11, 100%, $F$11)</f>
        <v>3.02</v>
      </c>
      <c r="D51" s="8">
        <f>3.0037 * CHOOSE( CONTROL!$C$15, $D$11, 100%, $F$11)</f>
        <v>3.0036999999999998</v>
      </c>
      <c r="E51" s="12">
        <f>3.0086 * CHOOSE( CONTROL!$C$15, $D$11, 100%, $F$11)</f>
        <v>3.0085999999999999</v>
      </c>
      <c r="F51" s="4">
        <f>4.0038 * CHOOSE(CONTROL!$C$15, $D$11, 100%, $F$11)</f>
        <v>4.0038</v>
      </c>
      <c r="G51" s="8">
        <f>2.9469 * CHOOSE( CONTROL!$C$15, $D$11, 100%, $F$11)</f>
        <v>2.9468999999999999</v>
      </c>
      <c r="H51" s="4">
        <f>3.8265 * CHOOSE(CONTROL!$C$15, $D$11, 100%, $F$11)</f>
        <v>3.8264999999999998</v>
      </c>
      <c r="I51" s="8">
        <f>2.9832 * CHOOSE(CONTROL!$C$15, $D$11, 100%, $F$11)</f>
        <v>2.9832000000000001</v>
      </c>
      <c r="J51" s="4">
        <f>2.879 * CHOOSE(CONTROL!$C$15, $D$11, 100%, $F$11)</f>
        <v>2.879</v>
      </c>
      <c r="K51" s="4"/>
      <c r="L51" s="9">
        <v>28.000499999999999</v>
      </c>
      <c r="M51" s="9">
        <v>11.6745</v>
      </c>
      <c r="N51" s="9">
        <v>4.7850000000000001</v>
      </c>
      <c r="O51" s="9">
        <v>0.36249999999999999</v>
      </c>
      <c r="P51" s="9">
        <v>1.2522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3.1557 * CHOOSE(CONTROL!$C$15, $D$11, 100%, $F$11)</f>
        <v>3.1556999999999999</v>
      </c>
      <c r="C52" s="8">
        <f>3.1661 * CHOOSE(CONTROL!$C$15, $D$11, 100%, $F$11)</f>
        <v>3.1661000000000001</v>
      </c>
      <c r="D52" s="8">
        <f>3.1521 * CHOOSE( CONTROL!$C$15, $D$11, 100%, $F$11)</f>
        <v>3.1520999999999999</v>
      </c>
      <c r="E52" s="12">
        <f>3.1561 * CHOOSE( CONTROL!$C$15, $D$11, 100%, $F$11)</f>
        <v>3.1560999999999999</v>
      </c>
      <c r="F52" s="4">
        <f>4.1499 * CHOOSE(CONTROL!$C$15, $D$11, 100%, $F$11)</f>
        <v>4.1498999999999997</v>
      </c>
      <c r="G52" s="8">
        <f>3.091 * CHOOSE( CONTROL!$C$15, $D$11, 100%, $F$11)</f>
        <v>3.0910000000000002</v>
      </c>
      <c r="H52" s="4">
        <f>3.9689 * CHOOSE(CONTROL!$C$15, $D$11, 100%, $F$11)</f>
        <v>3.9689000000000001</v>
      </c>
      <c r="I52" s="8">
        <f>3.1308 * CHOOSE(CONTROL!$C$15, $D$11, 100%, $F$11)</f>
        <v>3.1307999999999998</v>
      </c>
      <c r="J52" s="4">
        <f>3.019 * CHOOSE(CONTROL!$C$15, $D$11, 100%, $F$11)</f>
        <v>3.0190000000000001</v>
      </c>
      <c r="K52" s="4"/>
      <c r="L52" s="9">
        <v>28.933900000000001</v>
      </c>
      <c r="M52" s="9">
        <v>12.063700000000001</v>
      </c>
      <c r="N52" s="9">
        <v>4.9444999999999997</v>
      </c>
      <c r="O52" s="9">
        <v>0.37459999999999999</v>
      </c>
      <c r="P52" s="9">
        <v>1.2939000000000001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3.9453 * CHOOSE(CONTROL!$C$15, $D$11, 100%, $F$11)</f>
        <v>3.9453</v>
      </c>
      <c r="C53" s="8">
        <f>3.9558 * CHOOSE(CONTROL!$C$15, $D$11, 100%, $F$11)</f>
        <v>3.9558</v>
      </c>
      <c r="D53" s="8">
        <f>3.9551 * CHOOSE( CONTROL!$C$15, $D$11, 100%, $F$11)</f>
        <v>3.9550999999999998</v>
      </c>
      <c r="E53" s="12">
        <f>3.9542 * CHOOSE( CONTROL!$C$15, $D$11, 100%, $F$11)</f>
        <v>3.9542000000000002</v>
      </c>
      <c r="F53" s="4">
        <f>4.9682 * CHOOSE(CONTROL!$C$15, $D$11, 100%, $F$11)</f>
        <v>4.9682000000000004</v>
      </c>
      <c r="G53" s="8">
        <f>3.8743 * CHOOSE( CONTROL!$C$15, $D$11, 100%, $F$11)</f>
        <v>3.8742999999999999</v>
      </c>
      <c r="H53" s="4">
        <f>4.7666 * CHOOSE(CONTROL!$C$15, $D$11, 100%, $F$11)</f>
        <v>4.7666000000000004</v>
      </c>
      <c r="I53" s="8">
        <f>3.8861 * CHOOSE(CONTROL!$C$15, $D$11, 100%, $F$11)</f>
        <v>3.8860999999999999</v>
      </c>
      <c r="J53" s="4">
        <f>3.7757 * CHOOSE(CONTROL!$C$15, $D$11, 100%, $F$11)</f>
        <v>3.7757000000000001</v>
      </c>
      <c r="K53" s="4"/>
      <c r="L53" s="9">
        <v>28.933900000000001</v>
      </c>
      <c r="M53" s="9">
        <v>12.063700000000001</v>
      </c>
      <c r="N53" s="9">
        <v>4.9444999999999997</v>
      </c>
      <c r="O53" s="9">
        <v>0.37459999999999999</v>
      </c>
      <c r="P53" s="9">
        <v>1.2939000000000001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3.6906 * CHOOSE(CONTROL!$C$15, $D$11, 100%, $F$11)</f>
        <v>3.6905999999999999</v>
      </c>
      <c r="C54" s="8">
        <f>3.701 * CHOOSE(CONTROL!$C$15, $D$11, 100%, $F$11)</f>
        <v>3.7010000000000001</v>
      </c>
      <c r="D54" s="8">
        <f>3.7025 * CHOOSE( CONTROL!$C$15, $D$11, 100%, $F$11)</f>
        <v>3.7025000000000001</v>
      </c>
      <c r="E54" s="12">
        <f>3.7008 * CHOOSE( CONTROL!$C$15, $D$11, 100%, $F$11)</f>
        <v>3.7008000000000001</v>
      </c>
      <c r="F54" s="4">
        <f>4.7057 * CHOOSE(CONTROL!$C$15, $D$11, 100%, $F$11)</f>
        <v>4.7057000000000002</v>
      </c>
      <c r="G54" s="8">
        <f>3.6258 * CHOOSE( CONTROL!$C$15, $D$11, 100%, $F$11)</f>
        <v>3.6257999999999999</v>
      </c>
      <c r="H54" s="4">
        <f>4.5107 * CHOOSE(CONTROL!$C$15, $D$11, 100%, $F$11)</f>
        <v>4.5106999999999999</v>
      </c>
      <c r="I54" s="8">
        <f>3.631 * CHOOSE(CONTROL!$C$15, $D$11, 100%, $F$11)</f>
        <v>3.6309999999999998</v>
      </c>
      <c r="J54" s="4">
        <f>3.5316 * CHOOSE(CONTROL!$C$15, $D$11, 100%, $F$11)</f>
        <v>3.5316000000000001</v>
      </c>
      <c r="K54" s="4"/>
      <c r="L54" s="9">
        <v>26.133800000000001</v>
      </c>
      <c r="M54" s="9">
        <v>10.8962</v>
      </c>
      <c r="N54" s="9">
        <v>4.4660000000000002</v>
      </c>
      <c r="O54" s="9">
        <v>0.33829999999999999</v>
      </c>
      <c r="P54" s="9">
        <v>1.1687000000000001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3.6121 * CHOOSE(CONTROL!$C$15, $D$11, 100%, $F$11)</f>
        <v>3.6120999999999999</v>
      </c>
      <c r="C55" s="8">
        <f>3.6226 * CHOOSE(CONTROL!$C$15, $D$11, 100%, $F$11)</f>
        <v>3.6225999999999998</v>
      </c>
      <c r="D55" s="8">
        <f>3.6036 * CHOOSE( CONTROL!$C$15, $D$11, 100%, $F$11)</f>
        <v>3.6036000000000001</v>
      </c>
      <c r="E55" s="12">
        <f>3.6094 * CHOOSE( CONTROL!$C$15, $D$11, 100%, $F$11)</f>
        <v>3.6093999999999999</v>
      </c>
      <c r="F55" s="4">
        <f>4.611 * CHOOSE(CONTROL!$C$15, $D$11, 100%, $F$11)</f>
        <v>4.6109999999999998</v>
      </c>
      <c r="G55" s="8">
        <f>3.5286 * CHOOSE( CONTROL!$C$15, $D$11, 100%, $F$11)</f>
        <v>3.5286</v>
      </c>
      <c r="H55" s="4">
        <f>4.4185 * CHOOSE(CONTROL!$C$15, $D$11, 100%, $F$11)</f>
        <v>4.4184999999999999</v>
      </c>
      <c r="I55" s="8">
        <f>3.5163 * CHOOSE(CONTROL!$C$15, $D$11, 100%, $F$11)</f>
        <v>3.5163000000000002</v>
      </c>
      <c r="J55" s="4">
        <f>3.4564 * CHOOSE(CONTROL!$C$15, $D$11, 100%, $F$11)</f>
        <v>3.4563999999999999</v>
      </c>
      <c r="K55" s="4"/>
      <c r="L55" s="9">
        <v>28.933900000000001</v>
      </c>
      <c r="M55" s="9">
        <v>12.063700000000001</v>
      </c>
      <c r="N55" s="9">
        <v>4.9444999999999997</v>
      </c>
      <c r="O55" s="9">
        <v>0.37459999999999999</v>
      </c>
      <c r="P55" s="9">
        <v>1.2939000000000001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3.667 * CHOOSE(CONTROL!$C$15, $D$11, 100%, $F$11)</f>
        <v>3.6669999999999998</v>
      </c>
      <c r="C56" s="8">
        <f>3.6774 * CHOOSE(CONTROL!$C$15, $D$11, 100%, $F$11)</f>
        <v>3.6774</v>
      </c>
      <c r="D56" s="8">
        <f>3.6814 * CHOOSE( CONTROL!$C$15, $D$11, 100%, $F$11)</f>
        <v>3.6814</v>
      </c>
      <c r="E56" s="12">
        <f>3.6789 * CHOOSE( CONTROL!$C$15, $D$11, 100%, $F$11)</f>
        <v>3.6789000000000001</v>
      </c>
      <c r="F56" s="4">
        <f>4.6742 * CHOOSE(CONTROL!$C$15, $D$11, 100%, $F$11)</f>
        <v>4.6741999999999999</v>
      </c>
      <c r="G56" s="8">
        <f>3.5704 * CHOOSE( CONTROL!$C$15, $D$11, 100%, $F$11)</f>
        <v>3.5703999999999998</v>
      </c>
      <c r="H56" s="4">
        <f>4.48 * CHOOSE(CONTROL!$C$15, $D$11, 100%, $F$11)</f>
        <v>4.4800000000000004</v>
      </c>
      <c r="I56" s="8">
        <f>3.5589 * CHOOSE(CONTROL!$C$15, $D$11, 100%, $F$11)</f>
        <v>3.5589</v>
      </c>
      <c r="J56" s="4">
        <f>3.5089 * CHOOSE(CONTROL!$C$15, $D$11, 100%, $F$11)</f>
        <v>3.5089000000000001</v>
      </c>
      <c r="K56" s="4"/>
      <c r="L56" s="9">
        <v>29.665800000000001</v>
      </c>
      <c r="M56" s="9">
        <v>11.6745</v>
      </c>
      <c r="N56" s="9">
        <v>4.7850000000000001</v>
      </c>
      <c r="O56" s="9">
        <v>0.36249999999999999</v>
      </c>
      <c r="P56" s="9">
        <v>1.1798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CONTROL!$C$32, 3.7698, 3.7645) * CHOOSE(CONTROL!$C$15, $D$11, 100%, $F$11)</f>
        <v>3.7698</v>
      </c>
      <c r="C57" s="8">
        <f>CHOOSE( CONTROL!$C$32, 3.7802, 3.775) * CHOOSE(CONTROL!$C$15, $D$11, 100%, $F$11)</f>
        <v>3.7801999999999998</v>
      </c>
      <c r="D57" s="8">
        <f>CHOOSE( CONTROL!$C$32, 3.7931, 3.7878) * CHOOSE( CONTROL!$C$15, $D$11, 100%, $F$11)</f>
        <v>3.7930999999999999</v>
      </c>
      <c r="E57" s="12">
        <f>CHOOSE( CONTROL!$C$32, 3.7868, 3.7816) * CHOOSE( CONTROL!$C$15, $D$11, 100%, $F$11)</f>
        <v>3.7867999999999999</v>
      </c>
      <c r="F57" s="4">
        <f>CHOOSE( CONTROL!$C$32, 4.7927, 4.7874) * CHOOSE(CONTROL!$C$15, $D$11, 100%, $F$11)</f>
        <v>4.7927</v>
      </c>
      <c r="G57" s="8">
        <f>CHOOSE( CONTROL!$C$32, 3.6763, 3.6711) * CHOOSE( CONTROL!$C$15, $D$11, 100%, $F$11)</f>
        <v>3.6762999999999999</v>
      </c>
      <c r="H57" s="4">
        <f>CHOOSE( CONTROL!$C$32, 4.5955, 4.5904) * CHOOSE(CONTROL!$C$15, $D$11, 100%, $F$11)</f>
        <v>4.5955000000000004</v>
      </c>
      <c r="I57" s="8">
        <f>CHOOSE( CONTROL!$C$32, 3.6628, 3.6578) * CHOOSE(CONTROL!$C$15, $D$11, 100%, $F$11)</f>
        <v>3.6627999999999998</v>
      </c>
      <c r="J57" s="4">
        <f>CHOOSE( CONTROL!$C$32, 3.6074, 3.6024) * CHOOSE(CONTROL!$C$15, $D$11, 100%, $F$11)</f>
        <v>3.6074000000000002</v>
      </c>
      <c r="K57" s="4"/>
      <c r="L57" s="9">
        <v>30.896899999999999</v>
      </c>
      <c r="M57" s="9">
        <v>12.063700000000001</v>
      </c>
      <c r="N57" s="9">
        <v>4.9444999999999997</v>
      </c>
      <c r="O57" s="9">
        <v>0.37459999999999999</v>
      </c>
      <c r="P57" s="9">
        <v>1.2192000000000001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CONTROL!$C$32, 3.7093, 3.7041) * CHOOSE(CONTROL!$C$15, $D$11, 100%, $F$11)</f>
        <v>3.7092999999999998</v>
      </c>
      <c r="C58" s="8">
        <f>CHOOSE( CONTROL!$C$32, 3.7198, 3.7145) * CHOOSE(CONTROL!$C$15, $D$11, 100%, $F$11)</f>
        <v>3.7198000000000002</v>
      </c>
      <c r="D58" s="8">
        <f>CHOOSE( CONTROL!$C$32, 3.7402, 3.735) * CHOOSE( CONTROL!$C$15, $D$11, 100%, $F$11)</f>
        <v>3.7402000000000002</v>
      </c>
      <c r="E58" s="12">
        <f>CHOOSE( CONTROL!$C$32, 3.7312, 3.726) * CHOOSE( CONTROL!$C$15, $D$11, 100%, $F$11)</f>
        <v>3.7311999999999999</v>
      </c>
      <c r="F58" s="4">
        <f>CHOOSE( CONTROL!$C$32, 4.7448, 4.7395) * CHOOSE(CONTROL!$C$15, $D$11, 100%, $F$11)</f>
        <v>4.7447999999999997</v>
      </c>
      <c r="G58" s="8">
        <f>CHOOSE( CONTROL!$C$32, 3.6212, 3.6161) * CHOOSE( CONTROL!$C$15, $D$11, 100%, $F$11)</f>
        <v>3.6212</v>
      </c>
      <c r="H58" s="4">
        <f>CHOOSE( CONTROL!$C$32, 4.5488, 4.5437) * CHOOSE(CONTROL!$C$15, $D$11, 100%, $F$11)</f>
        <v>4.5488</v>
      </c>
      <c r="I58" s="8">
        <f>CHOOSE( CONTROL!$C$32, 3.6101, 3.605) * CHOOSE(CONTROL!$C$15, $D$11, 100%, $F$11)</f>
        <v>3.6101000000000001</v>
      </c>
      <c r="J58" s="4">
        <f>CHOOSE( CONTROL!$C$32, 3.5495, 3.5445) * CHOOSE(CONTROL!$C$15, $D$11, 100%, $F$11)</f>
        <v>3.5495000000000001</v>
      </c>
      <c r="K58" s="4"/>
      <c r="L58" s="9">
        <v>29.900200000000002</v>
      </c>
      <c r="M58" s="9">
        <v>11.6745</v>
      </c>
      <c r="N58" s="9">
        <v>4.7850000000000001</v>
      </c>
      <c r="O58" s="9">
        <v>0.36249999999999999</v>
      </c>
      <c r="P58" s="9">
        <v>1.1798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CONTROL!$C$32, 3.8685, 3.8633) * CHOOSE(CONTROL!$C$15, $D$11, 100%, $F$11)</f>
        <v>3.8685</v>
      </c>
      <c r="C59" s="8">
        <f>CHOOSE( CONTROL!$C$32, 3.8789, 3.8737) * CHOOSE(CONTROL!$C$15, $D$11, 100%, $F$11)</f>
        <v>3.8788999999999998</v>
      </c>
      <c r="D59" s="8">
        <f>CHOOSE( CONTROL!$C$32, 3.8896, 3.8843) * CHOOSE( CONTROL!$C$15, $D$11, 100%, $F$11)</f>
        <v>3.8896000000000002</v>
      </c>
      <c r="E59" s="12">
        <f>CHOOSE( CONTROL!$C$32, 3.8841, 3.8789) * CHOOSE( CONTROL!$C$15, $D$11, 100%, $F$11)</f>
        <v>3.8841000000000001</v>
      </c>
      <c r="F59" s="4">
        <f>CHOOSE( CONTROL!$C$32, 4.9039, 4.8987) * CHOOSE(CONTROL!$C$15, $D$11, 100%, $F$11)</f>
        <v>4.9039000000000001</v>
      </c>
      <c r="G59" s="8">
        <f>CHOOSE( CONTROL!$C$32, 3.7631, 3.758) * CHOOSE( CONTROL!$C$15, $D$11, 100%, $F$11)</f>
        <v>3.7631000000000001</v>
      </c>
      <c r="H59" s="4">
        <f>CHOOSE( CONTROL!$C$32, 4.704, 4.6989) * CHOOSE(CONTROL!$C$15, $D$11, 100%, $F$11)</f>
        <v>4.7039999999999997</v>
      </c>
      <c r="I59" s="8">
        <f>CHOOSE( CONTROL!$C$32, 3.7661, 3.761) * CHOOSE(CONTROL!$C$15, $D$11, 100%, $F$11)</f>
        <v>3.7660999999999998</v>
      </c>
      <c r="J59" s="4">
        <f>CHOOSE( CONTROL!$C$32, 3.7021, 3.697) * CHOOSE(CONTROL!$C$15, $D$11, 100%, $F$11)</f>
        <v>3.7021000000000002</v>
      </c>
      <c r="K59" s="4"/>
      <c r="L59" s="9">
        <v>30.896899999999999</v>
      </c>
      <c r="M59" s="9">
        <v>12.063700000000001</v>
      </c>
      <c r="N59" s="9">
        <v>4.9444999999999997</v>
      </c>
      <c r="O59" s="9">
        <v>0.37459999999999999</v>
      </c>
      <c r="P59" s="9">
        <v>1.2192000000000001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CONTROL!$C$32, 3.5707, 3.5654) * CHOOSE(CONTROL!$C$15, $D$11, 100%, $F$11)</f>
        <v>3.5707</v>
      </c>
      <c r="C60" s="8">
        <f>CHOOSE( CONTROL!$C$32, 3.5811, 3.5759) * CHOOSE(CONTROL!$C$15, $D$11, 100%, $F$11)</f>
        <v>3.5811000000000002</v>
      </c>
      <c r="D60" s="8">
        <f>CHOOSE( CONTROL!$C$32, 3.5921, 3.5868) * CHOOSE( CONTROL!$C$15, $D$11, 100%, $F$11)</f>
        <v>3.5920999999999998</v>
      </c>
      <c r="E60" s="12">
        <f>CHOOSE( CONTROL!$C$32, 3.5865, 3.5812) * CHOOSE( CONTROL!$C$15, $D$11, 100%, $F$11)</f>
        <v>3.5865</v>
      </c>
      <c r="F60" s="4">
        <f>CHOOSE( CONTROL!$C$32, 4.6061, 4.6009) * CHOOSE(CONTROL!$C$15, $D$11, 100%, $F$11)</f>
        <v>4.6060999999999996</v>
      </c>
      <c r="G60" s="8">
        <f>CHOOSE( CONTROL!$C$32, 3.4733, 3.4682) * CHOOSE( CONTROL!$C$15, $D$11, 100%, $F$11)</f>
        <v>3.4733000000000001</v>
      </c>
      <c r="H60" s="4">
        <f>CHOOSE( CONTROL!$C$32, 4.4137, 4.4085) * CHOOSE(CONTROL!$C$15, $D$11, 100%, $F$11)</f>
        <v>4.4137000000000004</v>
      </c>
      <c r="I60" s="8">
        <f>CHOOSE( CONTROL!$C$32, 3.4821, 3.4771) * CHOOSE(CONTROL!$C$15, $D$11, 100%, $F$11)</f>
        <v>3.4821</v>
      </c>
      <c r="J60" s="4">
        <f>CHOOSE( CONTROL!$C$32, 3.4167, 3.4116) * CHOOSE(CONTROL!$C$15, $D$11, 100%, $F$11)</f>
        <v>3.4167000000000001</v>
      </c>
      <c r="K60" s="4"/>
      <c r="L60" s="9">
        <v>30.896899999999999</v>
      </c>
      <c r="M60" s="9">
        <v>12.063700000000001</v>
      </c>
      <c r="N60" s="9">
        <v>4.9444999999999997</v>
      </c>
      <c r="O60" s="9">
        <v>0.37459999999999999</v>
      </c>
      <c r="P60" s="9">
        <v>1.2192000000000001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CONTROL!$C$32, 3.4961, 3.4908) * CHOOSE(CONTROL!$C$15, $D$11, 100%, $F$11)</f>
        <v>3.4961000000000002</v>
      </c>
      <c r="C61" s="8">
        <f>CHOOSE( CONTROL!$C$32, 3.5065, 3.5013) * CHOOSE(CONTROL!$C$15, $D$11, 100%, $F$11)</f>
        <v>3.5065</v>
      </c>
      <c r="D61" s="8">
        <f>CHOOSE( CONTROL!$C$32, 3.5176, 3.5124) * CHOOSE( CONTROL!$C$15, $D$11, 100%, $F$11)</f>
        <v>3.5175999999999998</v>
      </c>
      <c r="E61" s="12">
        <f>CHOOSE( CONTROL!$C$32, 3.512, 3.5068) * CHOOSE( CONTROL!$C$15, $D$11, 100%, $F$11)</f>
        <v>3.512</v>
      </c>
      <c r="F61" s="4">
        <f>CHOOSE( CONTROL!$C$32, 4.5315, 4.5263) * CHOOSE(CONTROL!$C$15, $D$11, 100%, $F$11)</f>
        <v>4.5315000000000003</v>
      </c>
      <c r="G61" s="8">
        <f>CHOOSE( CONTROL!$C$32, 3.4008, 3.3957) * CHOOSE( CONTROL!$C$15, $D$11, 100%, $F$11)</f>
        <v>3.4007999999999998</v>
      </c>
      <c r="H61" s="4">
        <f>CHOOSE( CONTROL!$C$32, 4.341, 4.3358) * CHOOSE(CONTROL!$C$15, $D$11, 100%, $F$11)</f>
        <v>4.3410000000000002</v>
      </c>
      <c r="I61" s="8">
        <f>CHOOSE( CONTROL!$C$32, 3.4113, 3.4063) * CHOOSE(CONTROL!$C$15, $D$11, 100%, $F$11)</f>
        <v>3.4113000000000002</v>
      </c>
      <c r="J61" s="4">
        <f>CHOOSE( CONTROL!$C$32, 3.3452, 3.3402) * CHOOSE(CONTROL!$C$15, $D$11, 100%, $F$11)</f>
        <v>3.3452000000000002</v>
      </c>
      <c r="K61" s="4"/>
      <c r="L61" s="9">
        <v>29.900200000000002</v>
      </c>
      <c r="M61" s="9">
        <v>11.6745</v>
      </c>
      <c r="N61" s="9">
        <v>4.7850000000000001</v>
      </c>
      <c r="O61" s="9">
        <v>0.36249999999999999</v>
      </c>
      <c r="P61" s="9">
        <v>1.1798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3.6457 * CHOOSE(CONTROL!$C$15, $D$11, 100%, $F$11)</f>
        <v>3.6457000000000002</v>
      </c>
      <c r="C62" s="8">
        <f>3.6561 * CHOOSE(CONTROL!$C$15, $D$11, 100%, $F$11)</f>
        <v>3.6560999999999999</v>
      </c>
      <c r="D62" s="8">
        <f>3.6685 * CHOOSE( CONTROL!$C$15, $D$11, 100%, $F$11)</f>
        <v>3.6684999999999999</v>
      </c>
      <c r="E62" s="12">
        <f>3.6633 * CHOOSE( CONTROL!$C$15, $D$11, 100%, $F$11)</f>
        <v>3.6633</v>
      </c>
      <c r="F62" s="4">
        <f>4.6811 * CHOOSE(CONTROL!$C$15, $D$11, 100%, $F$11)</f>
        <v>4.6810999999999998</v>
      </c>
      <c r="G62" s="8">
        <f>3.546 * CHOOSE( CONTROL!$C$15, $D$11, 100%, $F$11)</f>
        <v>3.5459999999999998</v>
      </c>
      <c r="H62" s="4">
        <f>4.4868 * CHOOSE(CONTROL!$C$15, $D$11, 100%, $F$11)</f>
        <v>4.4867999999999997</v>
      </c>
      <c r="I62" s="8">
        <f>3.5562 * CHOOSE(CONTROL!$C$15, $D$11, 100%, $F$11)</f>
        <v>3.5562</v>
      </c>
      <c r="J62" s="4">
        <f>3.4886 * CHOOSE(CONTROL!$C$15, $D$11, 100%, $F$11)</f>
        <v>3.4885999999999999</v>
      </c>
      <c r="K62" s="4"/>
      <c r="L62" s="9">
        <v>30.654699999999998</v>
      </c>
      <c r="M62" s="9">
        <v>12.063700000000001</v>
      </c>
      <c r="N62" s="9">
        <v>4.9444999999999997</v>
      </c>
      <c r="O62" s="9">
        <v>0.37459999999999999</v>
      </c>
      <c r="P62" s="9">
        <v>1.2192000000000001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3.9315 * CHOOSE(CONTROL!$C$15, $D$11, 100%, $F$11)</f>
        <v>3.9315000000000002</v>
      </c>
      <c r="C63" s="8">
        <f>3.942 * CHOOSE(CONTROL!$C$15, $D$11, 100%, $F$11)</f>
        <v>3.9420000000000002</v>
      </c>
      <c r="D63" s="8">
        <f>3.9257 * CHOOSE( CONTROL!$C$15, $D$11, 100%, $F$11)</f>
        <v>3.9257</v>
      </c>
      <c r="E63" s="12">
        <f>3.9305 * CHOOSE( CONTROL!$C$15, $D$11, 100%, $F$11)</f>
        <v>3.9304999999999999</v>
      </c>
      <c r="F63" s="4">
        <f>4.9257 * CHOOSE(CONTROL!$C$15, $D$11, 100%, $F$11)</f>
        <v>4.9257</v>
      </c>
      <c r="G63" s="8">
        <f>3.8456 * CHOOSE( CONTROL!$C$15, $D$11, 100%, $F$11)</f>
        <v>3.8456000000000001</v>
      </c>
      <c r="H63" s="4">
        <f>4.7252 * CHOOSE(CONTROL!$C$15, $D$11, 100%, $F$11)</f>
        <v>4.7252000000000001</v>
      </c>
      <c r="I63" s="8">
        <f>3.867 * CHOOSE(CONTROL!$C$15, $D$11, 100%, $F$11)</f>
        <v>3.867</v>
      </c>
      <c r="J63" s="4">
        <f>3.7624 * CHOOSE(CONTROL!$C$15, $D$11, 100%, $F$11)</f>
        <v>3.7624</v>
      </c>
      <c r="K63" s="4"/>
      <c r="L63" s="9">
        <v>28.000499999999999</v>
      </c>
      <c r="M63" s="9">
        <v>11.6745</v>
      </c>
      <c r="N63" s="9">
        <v>4.7850000000000001</v>
      </c>
      <c r="O63" s="9">
        <v>0.36249999999999999</v>
      </c>
      <c r="P63" s="9">
        <v>1.2522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3.9244 * CHOOSE(CONTROL!$C$15, $D$11, 100%, $F$11)</f>
        <v>3.9243999999999999</v>
      </c>
      <c r="C64" s="8">
        <f>3.9348 * CHOOSE(CONTROL!$C$15, $D$11, 100%, $F$11)</f>
        <v>3.9348000000000001</v>
      </c>
      <c r="D64" s="8">
        <f>3.9209 * CHOOSE( CONTROL!$C$15, $D$11, 100%, $F$11)</f>
        <v>3.9209000000000001</v>
      </c>
      <c r="E64" s="12">
        <f>3.9249 * CHOOSE( CONTROL!$C$15, $D$11, 100%, $F$11)</f>
        <v>3.9249000000000001</v>
      </c>
      <c r="F64" s="4">
        <f>4.9186 * CHOOSE(CONTROL!$C$15, $D$11, 100%, $F$11)</f>
        <v>4.9185999999999996</v>
      </c>
      <c r="G64" s="8">
        <f>3.8404 * CHOOSE( CONTROL!$C$15, $D$11, 100%, $F$11)</f>
        <v>3.8403999999999998</v>
      </c>
      <c r="H64" s="4">
        <f>4.7183 * CHOOSE(CONTROL!$C$15, $D$11, 100%, $F$11)</f>
        <v>4.7183000000000002</v>
      </c>
      <c r="I64" s="8">
        <f>3.8678 * CHOOSE(CONTROL!$C$15, $D$11, 100%, $F$11)</f>
        <v>3.8677999999999999</v>
      </c>
      <c r="J64" s="4">
        <f>3.7556 * CHOOSE(CONTROL!$C$15, $D$11, 100%, $F$11)</f>
        <v>3.7555999999999998</v>
      </c>
      <c r="K64" s="4"/>
      <c r="L64" s="9">
        <v>28.933900000000001</v>
      </c>
      <c r="M64" s="9">
        <v>12.063700000000001</v>
      </c>
      <c r="N64" s="9">
        <v>4.9444999999999997</v>
      </c>
      <c r="O64" s="9">
        <v>0.37459999999999999</v>
      </c>
      <c r="P64" s="9">
        <v>1.2939000000000001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3.9587 * CHOOSE(CONTROL!$C$15, $D$11, 100%, $F$11)</f>
        <v>3.9586999999999999</v>
      </c>
      <c r="C65" s="8">
        <f>3.9691 * CHOOSE(CONTROL!$C$15, $D$11, 100%, $F$11)</f>
        <v>3.9691000000000001</v>
      </c>
      <c r="D65" s="8">
        <f>3.9685 * CHOOSE( CONTROL!$C$15, $D$11, 100%, $F$11)</f>
        <v>3.9685000000000001</v>
      </c>
      <c r="E65" s="12">
        <f>3.9676 * CHOOSE( CONTROL!$C$15, $D$11, 100%, $F$11)</f>
        <v>3.9676</v>
      </c>
      <c r="F65" s="4">
        <f>4.9816 * CHOOSE(CONTROL!$C$15, $D$11, 100%, $F$11)</f>
        <v>4.9816000000000003</v>
      </c>
      <c r="G65" s="8">
        <f>3.8874 * CHOOSE( CONTROL!$C$15, $D$11, 100%, $F$11)</f>
        <v>3.8874</v>
      </c>
      <c r="H65" s="4">
        <f>4.7797 * CHOOSE(CONTROL!$C$15, $D$11, 100%, $F$11)</f>
        <v>4.7797000000000001</v>
      </c>
      <c r="I65" s="8">
        <f>3.8989 * CHOOSE(CONTROL!$C$15, $D$11, 100%, $F$11)</f>
        <v>3.8988999999999998</v>
      </c>
      <c r="J65" s="4">
        <f>3.7885 * CHOOSE(CONTROL!$C$15, $D$11, 100%, $F$11)</f>
        <v>3.7885</v>
      </c>
      <c r="K65" s="4"/>
      <c r="L65" s="9">
        <v>28.933900000000001</v>
      </c>
      <c r="M65" s="9">
        <v>12.063700000000001</v>
      </c>
      <c r="N65" s="9">
        <v>4.9444999999999997</v>
      </c>
      <c r="O65" s="9">
        <v>0.37459999999999999</v>
      </c>
      <c r="P65" s="9">
        <v>1.2939000000000001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3.7031 * CHOOSE(CONTROL!$C$15, $D$11, 100%, $F$11)</f>
        <v>3.7031000000000001</v>
      </c>
      <c r="C66" s="8">
        <f>3.7135 * CHOOSE(CONTROL!$C$15, $D$11, 100%, $F$11)</f>
        <v>3.7134999999999998</v>
      </c>
      <c r="D66" s="8">
        <f>3.715 * CHOOSE( CONTROL!$C$15, $D$11, 100%, $F$11)</f>
        <v>3.7149999999999999</v>
      </c>
      <c r="E66" s="12">
        <f>3.7133 * CHOOSE( CONTROL!$C$15, $D$11, 100%, $F$11)</f>
        <v>3.7132999999999998</v>
      </c>
      <c r="F66" s="4">
        <f>4.7182 * CHOOSE(CONTROL!$C$15, $D$11, 100%, $F$11)</f>
        <v>4.7182000000000004</v>
      </c>
      <c r="G66" s="8">
        <f>3.638 * CHOOSE( CONTROL!$C$15, $D$11, 100%, $F$11)</f>
        <v>3.6379999999999999</v>
      </c>
      <c r="H66" s="4">
        <f>4.5229 * CHOOSE(CONTROL!$C$15, $D$11, 100%, $F$11)</f>
        <v>4.5228999999999999</v>
      </c>
      <c r="I66" s="8">
        <f>3.643 * CHOOSE(CONTROL!$C$15, $D$11, 100%, $F$11)</f>
        <v>3.6429999999999998</v>
      </c>
      <c r="J66" s="4">
        <f>3.5435 * CHOOSE(CONTROL!$C$15, $D$11, 100%, $F$11)</f>
        <v>3.5434999999999999</v>
      </c>
      <c r="K66" s="4"/>
      <c r="L66" s="9">
        <v>27.0672</v>
      </c>
      <c r="M66" s="9">
        <v>11.285299999999999</v>
      </c>
      <c r="N66" s="9">
        <v>4.6254999999999997</v>
      </c>
      <c r="O66" s="9">
        <v>0.35039999999999999</v>
      </c>
      <c r="P66" s="9">
        <v>1.2104999999999999</v>
      </c>
      <c r="Q66" s="9">
        <v>20.7211</v>
      </c>
      <c r="R66" s="9"/>
      <c r="S66" s="11"/>
    </row>
    <row r="67" spans="1:19" ht="15.75">
      <c r="A67" s="13">
        <v>43891</v>
      </c>
      <c r="B67" s="8">
        <f>3.6244 * CHOOSE(CONTROL!$C$15, $D$11, 100%, $F$11)</f>
        <v>3.6244000000000001</v>
      </c>
      <c r="C67" s="8">
        <f>3.6348 * CHOOSE(CONTROL!$C$15, $D$11, 100%, $F$11)</f>
        <v>3.6347999999999998</v>
      </c>
      <c r="D67" s="8">
        <f>3.6158 * CHOOSE( CONTROL!$C$15, $D$11, 100%, $F$11)</f>
        <v>3.6158000000000001</v>
      </c>
      <c r="E67" s="12">
        <f>3.6216 * CHOOSE( CONTROL!$C$15, $D$11, 100%, $F$11)</f>
        <v>3.6215999999999999</v>
      </c>
      <c r="F67" s="4">
        <f>4.6233 * CHOOSE(CONTROL!$C$15, $D$11, 100%, $F$11)</f>
        <v>4.6233000000000004</v>
      </c>
      <c r="G67" s="8">
        <f>3.5405 * CHOOSE( CONTROL!$C$15, $D$11, 100%, $F$11)</f>
        <v>3.5405000000000002</v>
      </c>
      <c r="H67" s="4">
        <f>4.4304 * CHOOSE(CONTROL!$C$15, $D$11, 100%, $F$11)</f>
        <v>4.4303999999999997</v>
      </c>
      <c r="I67" s="8">
        <f>3.528 * CHOOSE(CONTROL!$C$15, $D$11, 100%, $F$11)</f>
        <v>3.528</v>
      </c>
      <c r="J67" s="4">
        <f>3.4681 * CHOOSE(CONTROL!$C$15, $D$11, 100%, $F$11)</f>
        <v>3.4681000000000002</v>
      </c>
      <c r="K67" s="4"/>
      <c r="L67" s="9">
        <v>28.933900000000001</v>
      </c>
      <c r="M67" s="9">
        <v>12.063700000000001</v>
      </c>
      <c r="N67" s="9">
        <v>4.9444999999999997</v>
      </c>
      <c r="O67" s="9">
        <v>0.37459999999999999</v>
      </c>
      <c r="P67" s="9">
        <v>1.2939000000000001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3.6794 * CHOOSE(CONTROL!$C$15, $D$11, 100%, $F$11)</f>
        <v>3.6793999999999998</v>
      </c>
      <c r="C68" s="8">
        <f>3.6898 * CHOOSE(CONTROL!$C$15, $D$11, 100%, $F$11)</f>
        <v>3.6898</v>
      </c>
      <c r="D68" s="8">
        <f>3.6938 * CHOOSE( CONTROL!$C$15, $D$11, 100%, $F$11)</f>
        <v>3.6938</v>
      </c>
      <c r="E68" s="12">
        <f>3.6913 * CHOOSE( CONTROL!$C$15, $D$11, 100%, $F$11)</f>
        <v>3.6913</v>
      </c>
      <c r="F68" s="4">
        <f>4.6866 * CHOOSE(CONTROL!$C$15, $D$11, 100%, $F$11)</f>
        <v>4.6866000000000003</v>
      </c>
      <c r="G68" s="8">
        <f>3.5825 * CHOOSE( CONTROL!$C$15, $D$11, 100%, $F$11)</f>
        <v>3.5825</v>
      </c>
      <c r="H68" s="4">
        <f>4.4921 * CHOOSE(CONTROL!$C$15, $D$11, 100%, $F$11)</f>
        <v>4.4920999999999998</v>
      </c>
      <c r="I68" s="8">
        <f>3.5708 * CHOOSE(CONTROL!$C$15, $D$11, 100%, $F$11)</f>
        <v>3.5708000000000002</v>
      </c>
      <c r="J68" s="4">
        <f>3.5208 * CHOOSE(CONTROL!$C$15, $D$11, 100%, $F$11)</f>
        <v>3.5207999999999999</v>
      </c>
      <c r="K68" s="4"/>
      <c r="L68" s="9">
        <v>29.665800000000001</v>
      </c>
      <c r="M68" s="9">
        <v>11.6745</v>
      </c>
      <c r="N68" s="9">
        <v>4.7850000000000001</v>
      </c>
      <c r="O68" s="9">
        <v>0.36249999999999999</v>
      </c>
      <c r="P68" s="9">
        <v>1.1798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CONTROL!$C$32, 3.7825, 3.7773) * CHOOSE(CONTROL!$C$15, $D$11, 100%, $F$11)</f>
        <v>3.7825000000000002</v>
      </c>
      <c r="C69" s="8">
        <f>CHOOSE( CONTROL!$C$32, 3.793, 3.7877) * CHOOSE(CONTROL!$C$15, $D$11, 100%, $F$11)</f>
        <v>3.7930000000000001</v>
      </c>
      <c r="D69" s="8">
        <f>CHOOSE( CONTROL!$C$32, 3.8058, 3.8006) * CHOOSE( CONTROL!$C$15, $D$11, 100%, $F$11)</f>
        <v>3.8058000000000001</v>
      </c>
      <c r="E69" s="12">
        <f>CHOOSE( CONTROL!$C$32, 3.7996, 3.7943) * CHOOSE( CONTROL!$C$15, $D$11, 100%, $F$11)</f>
        <v>3.7995999999999999</v>
      </c>
      <c r="F69" s="4">
        <f>CHOOSE( CONTROL!$C$32, 4.8054, 4.8002) * CHOOSE(CONTROL!$C$15, $D$11, 100%, $F$11)</f>
        <v>4.8053999999999997</v>
      </c>
      <c r="G69" s="8">
        <f>CHOOSE( CONTROL!$C$32, 3.6887, 3.6836) * CHOOSE( CONTROL!$C$15, $D$11, 100%, $F$11)</f>
        <v>3.6886999999999999</v>
      </c>
      <c r="H69" s="4">
        <f>CHOOSE( CONTROL!$C$32, 4.608, 4.6028) * CHOOSE(CONTROL!$C$15, $D$11, 100%, $F$11)</f>
        <v>4.6079999999999997</v>
      </c>
      <c r="I69" s="8">
        <f>CHOOSE( CONTROL!$C$32, 3.675, 3.67) * CHOOSE(CONTROL!$C$15, $D$11, 100%, $F$11)</f>
        <v>3.6749999999999998</v>
      </c>
      <c r="J69" s="4">
        <f>CHOOSE( CONTROL!$C$32, 3.6197, 3.6146) * CHOOSE(CONTROL!$C$15, $D$11, 100%, $F$11)</f>
        <v>3.6196999999999999</v>
      </c>
      <c r="K69" s="4"/>
      <c r="L69" s="9">
        <v>30.896899999999999</v>
      </c>
      <c r="M69" s="9">
        <v>12.063700000000001</v>
      </c>
      <c r="N69" s="9">
        <v>4.9444999999999997</v>
      </c>
      <c r="O69" s="9">
        <v>0.37459999999999999</v>
      </c>
      <c r="P69" s="9">
        <v>1.2192000000000001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CONTROL!$C$32, 3.7219, 3.7166) * CHOOSE(CONTROL!$C$15, $D$11, 100%, $F$11)</f>
        <v>3.7219000000000002</v>
      </c>
      <c r="C70" s="8">
        <f>CHOOSE( CONTROL!$C$32, 3.7323, 3.7271) * CHOOSE(CONTROL!$C$15, $D$11, 100%, $F$11)</f>
        <v>3.7323</v>
      </c>
      <c r="D70" s="8">
        <f>CHOOSE( CONTROL!$C$32, 3.7528, 3.7475) * CHOOSE( CONTROL!$C$15, $D$11, 100%, $F$11)</f>
        <v>3.7528000000000001</v>
      </c>
      <c r="E70" s="12">
        <f>CHOOSE( CONTROL!$C$32, 3.7438, 3.7385) * CHOOSE( CONTROL!$C$15, $D$11, 100%, $F$11)</f>
        <v>3.7437999999999998</v>
      </c>
      <c r="F70" s="4">
        <f>CHOOSE( CONTROL!$C$32, 4.7573, 4.7521) * CHOOSE(CONTROL!$C$15, $D$11, 100%, $F$11)</f>
        <v>4.7572999999999999</v>
      </c>
      <c r="G70" s="8">
        <f>CHOOSE( CONTROL!$C$32, 3.6334, 3.6283) * CHOOSE( CONTROL!$C$15, $D$11, 100%, $F$11)</f>
        <v>3.6334</v>
      </c>
      <c r="H70" s="4">
        <f>CHOOSE( CONTROL!$C$32, 4.5611, 4.5559) * CHOOSE(CONTROL!$C$15, $D$11, 100%, $F$11)</f>
        <v>4.5610999999999997</v>
      </c>
      <c r="I70" s="8">
        <f>CHOOSE( CONTROL!$C$32, 3.6221, 3.6171) * CHOOSE(CONTROL!$C$15, $D$11, 100%, $F$11)</f>
        <v>3.6221000000000001</v>
      </c>
      <c r="J70" s="4">
        <f>CHOOSE( CONTROL!$C$32, 3.5616, 3.5565) * CHOOSE(CONTROL!$C$15, $D$11, 100%, $F$11)</f>
        <v>3.5615999999999999</v>
      </c>
      <c r="K70" s="4"/>
      <c r="L70" s="9">
        <v>29.900200000000002</v>
      </c>
      <c r="M70" s="9">
        <v>11.6745</v>
      </c>
      <c r="N70" s="9">
        <v>4.7850000000000001</v>
      </c>
      <c r="O70" s="9">
        <v>0.36249999999999999</v>
      </c>
      <c r="P70" s="9">
        <v>1.1798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CONTROL!$C$32, 3.8816, 3.8763) * CHOOSE(CONTROL!$C$15, $D$11, 100%, $F$11)</f>
        <v>3.8816000000000002</v>
      </c>
      <c r="C71" s="8">
        <f>CHOOSE( CONTROL!$C$32, 3.892, 3.8868) * CHOOSE(CONTROL!$C$15, $D$11, 100%, $F$11)</f>
        <v>3.8919999999999999</v>
      </c>
      <c r="D71" s="8">
        <f>CHOOSE( CONTROL!$C$32, 3.9026, 3.8974) * CHOOSE( CONTROL!$C$15, $D$11, 100%, $F$11)</f>
        <v>3.9026000000000001</v>
      </c>
      <c r="E71" s="12">
        <f>CHOOSE( CONTROL!$C$32, 3.8972, 3.892) * CHOOSE( CONTROL!$C$15, $D$11, 100%, $F$11)</f>
        <v>3.8972000000000002</v>
      </c>
      <c r="F71" s="4">
        <f>CHOOSE( CONTROL!$C$32, 4.917, 4.9118) * CHOOSE(CONTROL!$C$15, $D$11, 100%, $F$11)</f>
        <v>4.9169999999999998</v>
      </c>
      <c r="G71" s="8">
        <f>CHOOSE( CONTROL!$C$32, 3.7759, 3.7708) * CHOOSE( CONTROL!$C$15, $D$11, 100%, $F$11)</f>
        <v>3.7759</v>
      </c>
      <c r="H71" s="4">
        <f>CHOOSE( CONTROL!$C$32, 4.7167, 4.7116) * CHOOSE(CONTROL!$C$15, $D$11, 100%, $F$11)</f>
        <v>4.7167000000000003</v>
      </c>
      <c r="I71" s="8">
        <f>CHOOSE( CONTROL!$C$32, 3.7786, 3.7736) * CHOOSE(CONTROL!$C$15, $D$11, 100%, $F$11)</f>
        <v>3.7786</v>
      </c>
      <c r="J71" s="4">
        <f>CHOOSE( CONTROL!$C$32, 3.7146, 3.7096) * CHOOSE(CONTROL!$C$15, $D$11, 100%, $F$11)</f>
        <v>3.7145999999999999</v>
      </c>
      <c r="K71" s="4"/>
      <c r="L71" s="9">
        <v>30.896899999999999</v>
      </c>
      <c r="M71" s="9">
        <v>12.063700000000001</v>
      </c>
      <c r="N71" s="9">
        <v>4.9444999999999997</v>
      </c>
      <c r="O71" s="9">
        <v>0.37459999999999999</v>
      </c>
      <c r="P71" s="9">
        <v>1.2192000000000001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CONTROL!$C$32, 3.5828, 3.5775) * CHOOSE(CONTROL!$C$15, $D$11, 100%, $F$11)</f>
        <v>3.5828000000000002</v>
      </c>
      <c r="C72" s="8">
        <f>CHOOSE( CONTROL!$C$32, 3.5932, 3.5879) * CHOOSE(CONTROL!$C$15, $D$11, 100%, $F$11)</f>
        <v>3.5931999999999999</v>
      </c>
      <c r="D72" s="8">
        <f>CHOOSE( CONTROL!$C$32, 3.6041, 3.5989) * CHOOSE( CONTROL!$C$15, $D$11, 100%, $F$11)</f>
        <v>3.6040999999999999</v>
      </c>
      <c r="E72" s="12">
        <f>CHOOSE( CONTROL!$C$32, 3.5986, 3.5933) * CHOOSE( CONTROL!$C$15, $D$11, 100%, $F$11)</f>
        <v>3.5985999999999998</v>
      </c>
      <c r="F72" s="4">
        <f>CHOOSE( CONTROL!$C$32, 4.6182, 4.6129) * CHOOSE(CONTROL!$C$15, $D$11, 100%, $F$11)</f>
        <v>4.6181999999999999</v>
      </c>
      <c r="G72" s="8">
        <f>CHOOSE( CONTROL!$C$32, 3.4851, 3.4799) * CHOOSE( CONTROL!$C$15, $D$11, 100%, $F$11)</f>
        <v>3.4851000000000001</v>
      </c>
      <c r="H72" s="4">
        <f>CHOOSE( CONTROL!$C$32, 4.4254, 4.4203) * CHOOSE(CONTROL!$C$15, $D$11, 100%, $F$11)</f>
        <v>4.4253999999999998</v>
      </c>
      <c r="I72" s="8">
        <f>CHOOSE( CONTROL!$C$32, 3.4937, 3.4887) * CHOOSE(CONTROL!$C$15, $D$11, 100%, $F$11)</f>
        <v>3.4937</v>
      </c>
      <c r="J72" s="4">
        <f>CHOOSE( CONTROL!$C$32, 3.4282, 3.4232) * CHOOSE(CONTROL!$C$15, $D$11, 100%, $F$11)</f>
        <v>3.4281999999999999</v>
      </c>
      <c r="K72" s="4"/>
      <c r="L72" s="9">
        <v>30.896899999999999</v>
      </c>
      <c r="M72" s="9">
        <v>12.063700000000001</v>
      </c>
      <c r="N72" s="9">
        <v>4.9444999999999997</v>
      </c>
      <c r="O72" s="9">
        <v>0.37459999999999999</v>
      </c>
      <c r="P72" s="9">
        <v>1.2192000000000001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CONTROL!$C$32, 3.5079, 3.5027) * CHOOSE(CONTROL!$C$15, $D$11, 100%, $F$11)</f>
        <v>3.5078999999999998</v>
      </c>
      <c r="C73" s="8">
        <f>CHOOSE( CONTROL!$C$32, 3.5184, 3.5131) * CHOOSE(CONTROL!$C$15, $D$11, 100%, $F$11)</f>
        <v>3.5184000000000002</v>
      </c>
      <c r="D73" s="8">
        <f>CHOOSE( CONTROL!$C$32, 3.5294, 3.5242) * CHOOSE( CONTROL!$C$15, $D$11, 100%, $F$11)</f>
        <v>3.5293999999999999</v>
      </c>
      <c r="E73" s="12">
        <f>CHOOSE( CONTROL!$C$32, 3.5238, 3.5186) * CHOOSE( CONTROL!$C$15, $D$11, 100%, $F$11)</f>
        <v>3.5238</v>
      </c>
      <c r="F73" s="4">
        <f>CHOOSE( CONTROL!$C$32, 4.5434, 4.5381) * CHOOSE(CONTROL!$C$15, $D$11, 100%, $F$11)</f>
        <v>4.5434000000000001</v>
      </c>
      <c r="G73" s="8">
        <f>CHOOSE( CONTROL!$C$32, 3.4123, 3.4072) * CHOOSE( CONTROL!$C$15, $D$11, 100%, $F$11)</f>
        <v>3.4123000000000001</v>
      </c>
      <c r="H73" s="4">
        <f>CHOOSE( CONTROL!$C$32, 4.3525, 4.3474) * CHOOSE(CONTROL!$C$15, $D$11, 100%, $F$11)</f>
        <v>4.3525</v>
      </c>
      <c r="I73" s="8">
        <f>CHOOSE( CONTROL!$C$32, 3.4227, 3.4176) * CHOOSE(CONTROL!$C$15, $D$11, 100%, $F$11)</f>
        <v>3.4226999999999999</v>
      </c>
      <c r="J73" s="4">
        <f>CHOOSE( CONTROL!$C$32, 3.3565, 3.3515) * CHOOSE(CONTROL!$C$15, $D$11, 100%, $F$11)</f>
        <v>3.3565</v>
      </c>
      <c r="K73" s="4"/>
      <c r="L73" s="9">
        <v>29.900200000000002</v>
      </c>
      <c r="M73" s="9">
        <v>11.6745</v>
      </c>
      <c r="N73" s="9">
        <v>4.7850000000000001</v>
      </c>
      <c r="O73" s="9">
        <v>0.36249999999999999</v>
      </c>
      <c r="P73" s="9">
        <v>1.1798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3.658 * CHOOSE(CONTROL!$C$15, $D$11, 100%, $F$11)</f>
        <v>3.6579999999999999</v>
      </c>
      <c r="C74" s="8">
        <f>3.6685 * CHOOSE(CONTROL!$C$15, $D$11, 100%, $F$11)</f>
        <v>3.6684999999999999</v>
      </c>
      <c r="D74" s="8">
        <f>3.6809 * CHOOSE( CONTROL!$C$15, $D$11, 100%, $F$11)</f>
        <v>3.6808999999999998</v>
      </c>
      <c r="E74" s="12">
        <f>3.6757 * CHOOSE( CONTROL!$C$15, $D$11, 100%, $F$11)</f>
        <v>3.6757</v>
      </c>
      <c r="F74" s="4">
        <f>4.6935 * CHOOSE(CONTROL!$C$15, $D$11, 100%, $F$11)</f>
        <v>4.6935000000000002</v>
      </c>
      <c r="G74" s="8">
        <f>3.558 * CHOOSE( CONTROL!$C$15, $D$11, 100%, $F$11)</f>
        <v>3.5579999999999998</v>
      </c>
      <c r="H74" s="4">
        <f>4.4988 * CHOOSE(CONTROL!$C$15, $D$11, 100%, $F$11)</f>
        <v>4.4988000000000001</v>
      </c>
      <c r="I74" s="8">
        <f>3.568 * CHOOSE(CONTROL!$C$15, $D$11, 100%, $F$11)</f>
        <v>3.5680000000000001</v>
      </c>
      <c r="J74" s="4">
        <f>3.5004 * CHOOSE(CONTROL!$C$15, $D$11, 100%, $F$11)</f>
        <v>3.5004</v>
      </c>
      <c r="K74" s="4"/>
      <c r="L74" s="9">
        <v>30.654699999999998</v>
      </c>
      <c r="M74" s="9">
        <v>12.063700000000001</v>
      </c>
      <c r="N74" s="9">
        <v>4.9444999999999997</v>
      </c>
      <c r="O74" s="9">
        <v>0.37459999999999999</v>
      </c>
      <c r="P74" s="9">
        <v>1.2192000000000001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3.9448 * CHOOSE(CONTROL!$C$15, $D$11, 100%, $F$11)</f>
        <v>3.9447999999999999</v>
      </c>
      <c r="C75" s="8">
        <f>3.9553 * CHOOSE(CONTROL!$C$15, $D$11, 100%, $F$11)</f>
        <v>3.9552999999999998</v>
      </c>
      <c r="D75" s="8">
        <f>3.939 * CHOOSE( CONTROL!$C$15, $D$11, 100%, $F$11)</f>
        <v>3.9390000000000001</v>
      </c>
      <c r="E75" s="12">
        <f>3.9438 * CHOOSE( CONTROL!$C$15, $D$11, 100%, $F$11)</f>
        <v>3.9438</v>
      </c>
      <c r="F75" s="4">
        <f>4.9391 * CHOOSE(CONTROL!$C$15, $D$11, 100%, $F$11)</f>
        <v>4.9390999999999998</v>
      </c>
      <c r="G75" s="8">
        <f>3.8586 * CHOOSE( CONTROL!$C$15, $D$11, 100%, $F$11)</f>
        <v>3.8586</v>
      </c>
      <c r="H75" s="4">
        <f>4.7382 * CHOOSE(CONTROL!$C$15, $D$11, 100%, $F$11)</f>
        <v>4.7382</v>
      </c>
      <c r="I75" s="8">
        <f>3.8798 * CHOOSE(CONTROL!$C$15, $D$11, 100%, $F$11)</f>
        <v>3.8797999999999999</v>
      </c>
      <c r="J75" s="4">
        <f>3.7752 * CHOOSE(CONTROL!$C$15, $D$11, 100%, $F$11)</f>
        <v>3.7751999999999999</v>
      </c>
      <c r="K75" s="4"/>
      <c r="L75" s="9">
        <v>28.000499999999999</v>
      </c>
      <c r="M75" s="9">
        <v>11.6745</v>
      </c>
      <c r="N75" s="9">
        <v>4.7850000000000001</v>
      </c>
      <c r="O75" s="9">
        <v>0.36249999999999999</v>
      </c>
      <c r="P75" s="9">
        <v>1.2522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3.9377 * CHOOSE(CONTROL!$C$15, $D$11, 100%, $F$11)</f>
        <v>3.9377</v>
      </c>
      <c r="C76" s="8">
        <f>3.9481 * CHOOSE(CONTROL!$C$15, $D$11, 100%, $F$11)</f>
        <v>3.9481000000000002</v>
      </c>
      <c r="D76" s="8">
        <f>3.9342 * CHOOSE( CONTROL!$C$15, $D$11, 100%, $F$11)</f>
        <v>3.9342000000000001</v>
      </c>
      <c r="E76" s="12">
        <f>3.9382 * CHOOSE( CONTROL!$C$15, $D$11, 100%, $F$11)</f>
        <v>3.9382000000000001</v>
      </c>
      <c r="F76" s="4">
        <f>4.9319 * CHOOSE(CONTROL!$C$15, $D$11, 100%, $F$11)</f>
        <v>4.9318999999999997</v>
      </c>
      <c r="G76" s="8">
        <f>3.8533 * CHOOSE( CONTROL!$C$15, $D$11, 100%, $F$11)</f>
        <v>3.8532999999999999</v>
      </c>
      <c r="H76" s="4">
        <f>4.7312 * CHOOSE(CONTROL!$C$15, $D$11, 100%, $F$11)</f>
        <v>4.7312000000000003</v>
      </c>
      <c r="I76" s="8">
        <f>3.8805 * CHOOSE(CONTROL!$C$15, $D$11, 100%, $F$11)</f>
        <v>3.8805000000000001</v>
      </c>
      <c r="J76" s="4">
        <f>3.7683 * CHOOSE(CONTROL!$C$15, $D$11, 100%, $F$11)</f>
        <v>3.7683</v>
      </c>
      <c r="K76" s="4"/>
      <c r="L76" s="9">
        <v>28.933900000000001</v>
      </c>
      <c r="M76" s="9">
        <v>12.063700000000001</v>
      </c>
      <c r="N76" s="9">
        <v>4.9444999999999997</v>
      </c>
      <c r="O76" s="9">
        <v>0.37459999999999999</v>
      </c>
      <c r="P76" s="9">
        <v>1.2939000000000001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4.4683 * CHOOSE(CONTROL!$C$15, $D$11, 100%, $F$11)</f>
        <v>4.4683000000000002</v>
      </c>
      <c r="C77" s="8">
        <f>4.4788 * CHOOSE(CONTROL!$C$15, $D$11, 100%, $F$11)</f>
        <v>4.4787999999999997</v>
      </c>
      <c r="D77" s="8">
        <f>4.4781 * CHOOSE( CONTROL!$C$15, $D$11, 100%, $F$11)</f>
        <v>4.4781000000000004</v>
      </c>
      <c r="E77" s="12">
        <f>4.4772 * CHOOSE( CONTROL!$C$15, $D$11, 100%, $F$11)</f>
        <v>4.4771999999999998</v>
      </c>
      <c r="F77" s="4">
        <f>5.4913 * CHOOSE(CONTROL!$C$15, $D$11, 100%, $F$11)</f>
        <v>5.4912999999999998</v>
      </c>
      <c r="G77" s="8">
        <f>4.3842 * CHOOSE( CONTROL!$C$15, $D$11, 100%, $F$11)</f>
        <v>4.3841999999999999</v>
      </c>
      <c r="H77" s="4">
        <f>5.2765 * CHOOSE(CONTROL!$C$15, $D$11, 100%, $F$11)</f>
        <v>5.2765000000000004</v>
      </c>
      <c r="I77" s="8">
        <f>4.3875 * CHOOSE(CONTROL!$C$15, $D$11, 100%, $F$11)</f>
        <v>4.3875000000000002</v>
      </c>
      <c r="J77" s="4">
        <f>4.2768 * CHOOSE(CONTROL!$C$15, $D$11, 100%, $F$11)</f>
        <v>4.2767999999999997</v>
      </c>
      <c r="K77" s="4"/>
      <c r="L77" s="9">
        <v>28.933900000000001</v>
      </c>
      <c r="M77" s="9">
        <v>12.063700000000001</v>
      </c>
      <c r="N77" s="9">
        <v>4.9444999999999997</v>
      </c>
      <c r="O77" s="9">
        <v>0.37459999999999999</v>
      </c>
      <c r="P77" s="9">
        <v>1.2939000000000001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4.1798 * CHOOSE(CONTROL!$C$15, $D$11, 100%, $F$11)</f>
        <v>4.1798000000000002</v>
      </c>
      <c r="C78" s="8">
        <f>4.1902 * CHOOSE(CONTROL!$C$15, $D$11, 100%, $F$11)</f>
        <v>4.1901999999999999</v>
      </c>
      <c r="D78" s="8">
        <f>4.1917 * CHOOSE( CONTROL!$C$15, $D$11, 100%, $F$11)</f>
        <v>4.1917</v>
      </c>
      <c r="E78" s="12">
        <f>4.19 * CHOOSE( CONTROL!$C$15, $D$11, 100%, $F$11)</f>
        <v>4.1900000000000004</v>
      </c>
      <c r="F78" s="4">
        <f>5.1949 * CHOOSE(CONTROL!$C$15, $D$11, 100%, $F$11)</f>
        <v>5.1948999999999996</v>
      </c>
      <c r="G78" s="8">
        <f>4.1027 * CHOOSE( CONTROL!$C$15, $D$11, 100%, $F$11)</f>
        <v>4.1026999999999996</v>
      </c>
      <c r="H78" s="4">
        <f>4.9876 * CHOOSE(CONTROL!$C$15, $D$11, 100%, $F$11)</f>
        <v>4.9875999999999996</v>
      </c>
      <c r="I78" s="8">
        <f>4.1 * CHOOSE(CONTROL!$C$15, $D$11, 100%, $F$11)</f>
        <v>4.0999999999999996</v>
      </c>
      <c r="J78" s="4">
        <f>4.0003 * CHOOSE(CONTROL!$C$15, $D$11, 100%, $F$11)</f>
        <v>4.0003000000000002</v>
      </c>
      <c r="K78" s="4"/>
      <c r="L78" s="9">
        <v>26.133800000000001</v>
      </c>
      <c r="M78" s="9">
        <v>10.8962</v>
      </c>
      <c r="N78" s="9">
        <v>4.4660000000000002</v>
      </c>
      <c r="O78" s="9">
        <v>0.33829999999999999</v>
      </c>
      <c r="P78" s="9">
        <v>1.1687000000000001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4.0909 * CHOOSE(CONTROL!$C$15, $D$11, 100%, $F$11)</f>
        <v>4.0909000000000004</v>
      </c>
      <c r="C79" s="8">
        <f>4.1014 * CHOOSE(CONTROL!$C$15, $D$11, 100%, $F$11)</f>
        <v>4.1013999999999999</v>
      </c>
      <c r="D79" s="8">
        <f>4.0824 * CHOOSE( CONTROL!$C$15, $D$11, 100%, $F$11)</f>
        <v>4.0823999999999998</v>
      </c>
      <c r="E79" s="12">
        <f>4.0882 * CHOOSE( CONTROL!$C$15, $D$11, 100%, $F$11)</f>
        <v>4.0881999999999996</v>
      </c>
      <c r="F79" s="4">
        <f>5.0898 * CHOOSE(CONTROL!$C$15, $D$11, 100%, $F$11)</f>
        <v>5.0898000000000003</v>
      </c>
      <c r="G79" s="8">
        <f>3.9953 * CHOOSE( CONTROL!$C$15, $D$11, 100%, $F$11)</f>
        <v>3.9952999999999999</v>
      </c>
      <c r="H79" s="4">
        <f>4.8852 * CHOOSE(CONTROL!$C$15, $D$11, 100%, $F$11)</f>
        <v>4.8852000000000002</v>
      </c>
      <c r="I79" s="8">
        <f>3.9753 * CHOOSE(CONTROL!$C$15, $D$11, 100%, $F$11)</f>
        <v>3.9752999999999998</v>
      </c>
      <c r="J79" s="4">
        <f>3.9152 * CHOOSE(CONTROL!$C$15, $D$11, 100%, $F$11)</f>
        <v>3.9152</v>
      </c>
      <c r="K79" s="4"/>
      <c r="L79" s="9">
        <v>28.933900000000001</v>
      </c>
      <c r="M79" s="9">
        <v>12.063700000000001</v>
      </c>
      <c r="N79" s="9">
        <v>4.9444999999999997</v>
      </c>
      <c r="O79" s="9">
        <v>0.37459999999999999</v>
      </c>
      <c r="P79" s="9">
        <v>1.2939000000000001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4.153 * CHOOSE(CONTROL!$C$15, $D$11, 100%, $F$11)</f>
        <v>4.1529999999999996</v>
      </c>
      <c r="C80" s="8">
        <f>4.1635 * CHOOSE(CONTROL!$C$15, $D$11, 100%, $F$11)</f>
        <v>4.1635</v>
      </c>
      <c r="D80" s="8">
        <f>4.1675 * CHOOSE( CONTROL!$C$15, $D$11, 100%, $F$11)</f>
        <v>4.1675000000000004</v>
      </c>
      <c r="E80" s="12">
        <f>4.165 * CHOOSE( CONTROL!$C$15, $D$11, 100%, $F$11)</f>
        <v>4.165</v>
      </c>
      <c r="F80" s="4">
        <f>5.1603 * CHOOSE(CONTROL!$C$15, $D$11, 100%, $F$11)</f>
        <v>5.1603000000000003</v>
      </c>
      <c r="G80" s="8">
        <f>4.0442 * CHOOSE( CONTROL!$C$15, $D$11, 100%, $F$11)</f>
        <v>4.0442</v>
      </c>
      <c r="H80" s="4">
        <f>4.9538 * CHOOSE(CONTROL!$C$15, $D$11, 100%, $F$11)</f>
        <v>4.9538000000000002</v>
      </c>
      <c r="I80" s="8">
        <f>4.0249 * CHOOSE(CONTROL!$C$15, $D$11, 100%, $F$11)</f>
        <v>4.0248999999999997</v>
      </c>
      <c r="J80" s="4">
        <f>3.9747 * CHOOSE(CONTROL!$C$15, $D$11, 100%, $F$11)</f>
        <v>3.9746999999999999</v>
      </c>
      <c r="K80" s="4"/>
      <c r="L80" s="9">
        <v>29.665800000000001</v>
      </c>
      <c r="M80" s="9">
        <v>11.6745</v>
      </c>
      <c r="N80" s="9">
        <v>4.7850000000000001</v>
      </c>
      <c r="O80" s="9">
        <v>0.36249999999999999</v>
      </c>
      <c r="P80" s="9">
        <v>1.1798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CONTROL!$C$32, 4.2688, 4.2636) * CHOOSE(CONTROL!$C$15, $D$11, 100%, $F$11)</f>
        <v>4.2687999999999997</v>
      </c>
      <c r="C81" s="8">
        <f>CHOOSE( CONTROL!$C$32, 4.2792, 4.274) * CHOOSE(CONTROL!$C$15, $D$11, 100%, $F$11)</f>
        <v>4.2792000000000003</v>
      </c>
      <c r="D81" s="8">
        <f>CHOOSE( CONTROL!$C$32, 4.2921, 4.2868) * CHOOSE( CONTROL!$C$15, $D$11, 100%, $F$11)</f>
        <v>4.2920999999999996</v>
      </c>
      <c r="E81" s="12">
        <f>CHOOSE( CONTROL!$C$32, 4.2858, 4.2806) * CHOOSE( CONTROL!$C$15, $D$11, 100%, $F$11)</f>
        <v>4.2858000000000001</v>
      </c>
      <c r="F81" s="4">
        <f>CHOOSE( CONTROL!$C$32, 5.2917, 5.2865) * CHOOSE(CONTROL!$C$15, $D$11, 100%, $F$11)</f>
        <v>5.2916999999999996</v>
      </c>
      <c r="G81" s="8">
        <f>CHOOSE( CONTROL!$C$32, 4.1627, 4.1576) * CHOOSE( CONTROL!$C$15, $D$11, 100%, $F$11)</f>
        <v>4.1627000000000001</v>
      </c>
      <c r="H81" s="4">
        <f>CHOOSE( CONTROL!$C$32, 5.082, 5.0768) * CHOOSE(CONTROL!$C$15, $D$11, 100%, $F$11)</f>
        <v>5.0819999999999999</v>
      </c>
      <c r="I81" s="8">
        <f>CHOOSE( CONTROL!$C$32, 4.1412, 4.1362) * CHOOSE(CONTROL!$C$15, $D$11, 100%, $F$11)</f>
        <v>4.1412000000000004</v>
      </c>
      <c r="J81" s="4">
        <f>CHOOSE( CONTROL!$C$32, 4.0856, 4.0806) * CHOOSE(CONTROL!$C$15, $D$11, 100%, $F$11)</f>
        <v>4.0856000000000003</v>
      </c>
      <c r="K81" s="4"/>
      <c r="L81" s="9">
        <v>30.896899999999999</v>
      </c>
      <c r="M81" s="9">
        <v>12.063700000000001</v>
      </c>
      <c r="N81" s="9">
        <v>4.9444999999999997</v>
      </c>
      <c r="O81" s="9">
        <v>0.37459999999999999</v>
      </c>
      <c r="P81" s="9">
        <v>1.2192000000000001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CONTROL!$C$32, 4.2003, 4.1951) * CHOOSE(CONTROL!$C$15, $D$11, 100%, $F$11)</f>
        <v>4.2003000000000004</v>
      </c>
      <c r="C82" s="8">
        <f>CHOOSE( CONTROL!$C$32, 4.2108, 4.2055) * CHOOSE(CONTROL!$C$15, $D$11, 100%, $F$11)</f>
        <v>4.2107999999999999</v>
      </c>
      <c r="D82" s="8">
        <f>CHOOSE( CONTROL!$C$32, 4.2312, 4.226) * CHOOSE( CONTROL!$C$15, $D$11, 100%, $F$11)</f>
        <v>4.2312000000000003</v>
      </c>
      <c r="E82" s="12">
        <f>CHOOSE( CONTROL!$C$32, 4.2222, 4.217) * CHOOSE( CONTROL!$C$15, $D$11, 100%, $F$11)</f>
        <v>4.2222</v>
      </c>
      <c r="F82" s="4">
        <f>CHOOSE( CONTROL!$C$32, 5.2358, 5.2305) * CHOOSE(CONTROL!$C$15, $D$11, 100%, $F$11)</f>
        <v>5.2358000000000002</v>
      </c>
      <c r="G82" s="8">
        <f>CHOOSE( CONTROL!$C$32, 4.0998, 4.0947) * CHOOSE( CONTROL!$C$15, $D$11, 100%, $F$11)</f>
        <v>4.0998000000000001</v>
      </c>
      <c r="H82" s="4">
        <f>CHOOSE( CONTROL!$C$32, 5.0274, 5.0223) * CHOOSE(CONTROL!$C$15, $D$11, 100%, $F$11)</f>
        <v>5.0274000000000001</v>
      </c>
      <c r="I82" s="8">
        <f>CHOOSE( CONTROL!$C$32, 4.0808, 4.0758) * CHOOSE(CONTROL!$C$15, $D$11, 100%, $F$11)</f>
        <v>4.0808</v>
      </c>
      <c r="J82" s="4">
        <f>CHOOSE( CONTROL!$C$32, 4.02, 4.015) * CHOOSE(CONTROL!$C$15, $D$11, 100%, $F$11)</f>
        <v>4.0199999999999996</v>
      </c>
      <c r="K82" s="4"/>
      <c r="L82" s="9">
        <v>29.900200000000002</v>
      </c>
      <c r="M82" s="9">
        <v>11.6745</v>
      </c>
      <c r="N82" s="9">
        <v>4.7850000000000001</v>
      </c>
      <c r="O82" s="9">
        <v>0.36249999999999999</v>
      </c>
      <c r="P82" s="9">
        <v>1.1798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CONTROL!$C$32, 4.3806, 4.3754) * CHOOSE(CONTROL!$C$15, $D$11, 100%, $F$11)</f>
        <v>4.3806000000000003</v>
      </c>
      <c r="C83" s="8">
        <f>CHOOSE( CONTROL!$C$32, 4.3911, 4.3858) * CHOOSE(CONTROL!$C$15, $D$11, 100%, $F$11)</f>
        <v>4.3910999999999998</v>
      </c>
      <c r="D83" s="8">
        <f>CHOOSE( CONTROL!$C$32, 4.4017, 4.3964) * CHOOSE( CONTROL!$C$15, $D$11, 100%, $F$11)</f>
        <v>4.4016999999999999</v>
      </c>
      <c r="E83" s="12">
        <f>CHOOSE( CONTROL!$C$32, 4.3963, 4.391) * CHOOSE( CONTROL!$C$15, $D$11, 100%, $F$11)</f>
        <v>4.3963000000000001</v>
      </c>
      <c r="F83" s="4">
        <f>CHOOSE( CONTROL!$C$32, 5.4161, 5.4108) * CHOOSE(CONTROL!$C$15, $D$11, 100%, $F$11)</f>
        <v>5.4161000000000001</v>
      </c>
      <c r="G83" s="8">
        <f>CHOOSE( CONTROL!$C$32, 4.2623, 4.2572) * CHOOSE( CONTROL!$C$15, $D$11, 100%, $F$11)</f>
        <v>4.2622999999999998</v>
      </c>
      <c r="H83" s="4">
        <f>CHOOSE( CONTROL!$C$32, 5.2032, 5.1981) * CHOOSE(CONTROL!$C$15, $D$11, 100%, $F$11)</f>
        <v>5.2031999999999998</v>
      </c>
      <c r="I83" s="8">
        <f>CHOOSE( CONTROL!$C$32, 4.257, 4.252) * CHOOSE(CONTROL!$C$15, $D$11, 100%, $F$11)</f>
        <v>4.2569999999999997</v>
      </c>
      <c r="J83" s="4">
        <f>CHOOSE( CONTROL!$C$32, 4.1928, 4.1877) * CHOOSE(CONTROL!$C$15, $D$11, 100%, $F$11)</f>
        <v>4.1928000000000001</v>
      </c>
      <c r="K83" s="4"/>
      <c r="L83" s="9">
        <v>30.896899999999999</v>
      </c>
      <c r="M83" s="9">
        <v>12.063700000000001</v>
      </c>
      <c r="N83" s="9">
        <v>4.9444999999999997</v>
      </c>
      <c r="O83" s="9">
        <v>0.37459999999999999</v>
      </c>
      <c r="P83" s="9">
        <v>1.2192000000000001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CONTROL!$C$32, 4.0433, 4.038) * CHOOSE(CONTROL!$C$15, $D$11, 100%, $F$11)</f>
        <v>4.0433000000000003</v>
      </c>
      <c r="C84" s="8">
        <f>CHOOSE( CONTROL!$C$32, 4.0537, 4.0485) * CHOOSE(CONTROL!$C$15, $D$11, 100%, $F$11)</f>
        <v>4.0537000000000001</v>
      </c>
      <c r="D84" s="8">
        <f>CHOOSE( CONTROL!$C$32, 4.0647, 4.0594) * CHOOSE( CONTROL!$C$15, $D$11, 100%, $F$11)</f>
        <v>4.0647000000000002</v>
      </c>
      <c r="E84" s="12">
        <f>CHOOSE( CONTROL!$C$32, 4.0591, 4.0538) * CHOOSE( CONTROL!$C$15, $D$11, 100%, $F$11)</f>
        <v>4.0590999999999999</v>
      </c>
      <c r="F84" s="4">
        <f>CHOOSE( CONTROL!$C$32, 5.0787, 5.0735) * CHOOSE(CONTROL!$C$15, $D$11, 100%, $F$11)</f>
        <v>5.0787000000000004</v>
      </c>
      <c r="G84" s="8">
        <f>CHOOSE( CONTROL!$C$32, 3.934, 3.9288) * CHOOSE( CONTROL!$C$15, $D$11, 100%, $F$11)</f>
        <v>3.9340000000000002</v>
      </c>
      <c r="H84" s="4">
        <f>CHOOSE( CONTROL!$C$32, 4.8743, 4.8692) * CHOOSE(CONTROL!$C$15, $D$11, 100%, $F$11)</f>
        <v>4.8742999999999999</v>
      </c>
      <c r="I84" s="8">
        <f>CHOOSE( CONTROL!$C$32, 3.9352, 3.9302) * CHOOSE(CONTROL!$C$15, $D$11, 100%, $F$11)</f>
        <v>3.9352</v>
      </c>
      <c r="J84" s="4">
        <f>CHOOSE( CONTROL!$C$32, 3.8695, 3.8645) * CHOOSE(CONTROL!$C$15, $D$11, 100%, $F$11)</f>
        <v>3.8694999999999999</v>
      </c>
      <c r="K84" s="4"/>
      <c r="L84" s="9">
        <v>30.896899999999999</v>
      </c>
      <c r="M84" s="9">
        <v>12.063700000000001</v>
      </c>
      <c r="N84" s="9">
        <v>4.9444999999999997</v>
      </c>
      <c r="O84" s="9">
        <v>0.37459999999999999</v>
      </c>
      <c r="P84" s="9">
        <v>1.2192000000000001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CONTROL!$C$32, 3.9588, 3.9535) * CHOOSE(CONTROL!$C$15, $D$11, 100%, $F$11)</f>
        <v>3.9588000000000001</v>
      </c>
      <c r="C85" s="8">
        <f>CHOOSE( CONTROL!$C$32, 3.9692, 3.964) * CHOOSE(CONTROL!$C$15, $D$11, 100%, $F$11)</f>
        <v>3.9691999999999998</v>
      </c>
      <c r="D85" s="8">
        <f>CHOOSE( CONTROL!$C$32, 3.9803, 3.9751) * CHOOSE( CONTROL!$C$15, $D$11, 100%, $F$11)</f>
        <v>3.9803000000000002</v>
      </c>
      <c r="E85" s="12">
        <f>CHOOSE( CONTROL!$C$32, 3.9747, 3.9695) * CHOOSE( CONTROL!$C$15, $D$11, 100%, $F$11)</f>
        <v>3.9746999999999999</v>
      </c>
      <c r="F85" s="4">
        <f>CHOOSE( CONTROL!$C$32, 4.9942, 4.989) * CHOOSE(CONTROL!$C$15, $D$11, 100%, $F$11)</f>
        <v>4.9942000000000002</v>
      </c>
      <c r="G85" s="8">
        <f>CHOOSE( CONTROL!$C$32, 3.8518, 3.8467) * CHOOSE( CONTROL!$C$15, $D$11, 100%, $F$11)</f>
        <v>3.8517999999999999</v>
      </c>
      <c r="H85" s="4">
        <f>CHOOSE( CONTROL!$C$32, 4.792, 4.7869) * CHOOSE(CONTROL!$C$15, $D$11, 100%, $F$11)</f>
        <v>4.7919999999999998</v>
      </c>
      <c r="I85" s="8">
        <f>CHOOSE( CONTROL!$C$32, 3.8549, 3.8499) * CHOOSE(CONTROL!$C$15, $D$11, 100%, $F$11)</f>
        <v>3.8549000000000002</v>
      </c>
      <c r="J85" s="4">
        <f>CHOOSE( CONTROL!$C$32, 3.7886, 3.7835) * CHOOSE(CONTROL!$C$15, $D$11, 100%, $F$11)</f>
        <v>3.7886000000000002</v>
      </c>
      <c r="K85" s="4"/>
      <c r="L85" s="9">
        <v>29.900200000000002</v>
      </c>
      <c r="M85" s="9">
        <v>11.6745</v>
      </c>
      <c r="N85" s="9">
        <v>4.7850000000000001</v>
      </c>
      <c r="O85" s="9">
        <v>0.36249999999999999</v>
      </c>
      <c r="P85" s="9">
        <v>1.1798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4.129 * CHOOSE(CONTROL!$C$15, $D$11, 100%, $F$11)</f>
        <v>4.1289999999999996</v>
      </c>
      <c r="C86" s="8">
        <f>4.1394 * CHOOSE(CONTROL!$C$15, $D$11, 100%, $F$11)</f>
        <v>4.1394000000000002</v>
      </c>
      <c r="D86" s="8">
        <f>4.1518 * CHOOSE( CONTROL!$C$15, $D$11, 100%, $F$11)</f>
        <v>4.1517999999999997</v>
      </c>
      <c r="E86" s="12">
        <f>4.1466 * CHOOSE( CONTROL!$C$15, $D$11, 100%, $F$11)</f>
        <v>4.1466000000000003</v>
      </c>
      <c r="F86" s="4">
        <f>5.1644 * CHOOSE(CONTROL!$C$15, $D$11, 100%, $F$11)</f>
        <v>5.1643999999999997</v>
      </c>
      <c r="G86" s="8">
        <f>4.0171 * CHOOSE( CONTROL!$C$15, $D$11, 100%, $F$11)</f>
        <v>4.0171000000000001</v>
      </c>
      <c r="H86" s="4">
        <f>4.9578 * CHOOSE(CONTROL!$C$15, $D$11, 100%, $F$11)</f>
        <v>4.9577999999999998</v>
      </c>
      <c r="I86" s="8">
        <f>4.0195 * CHOOSE(CONTROL!$C$15, $D$11, 100%, $F$11)</f>
        <v>4.0194999999999999</v>
      </c>
      <c r="J86" s="4">
        <f>3.9516 * CHOOSE(CONTROL!$C$15, $D$11, 100%, $F$11)</f>
        <v>3.9516</v>
      </c>
      <c r="K86" s="4"/>
      <c r="L86" s="9">
        <v>30.654699999999998</v>
      </c>
      <c r="M86" s="9">
        <v>12.063700000000001</v>
      </c>
      <c r="N86" s="9">
        <v>4.9444999999999997</v>
      </c>
      <c r="O86" s="9">
        <v>0.37459999999999999</v>
      </c>
      <c r="P86" s="9">
        <v>1.2192000000000001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4.4527 * CHOOSE(CONTROL!$C$15, $D$11, 100%, $F$11)</f>
        <v>4.4527000000000001</v>
      </c>
      <c r="C87" s="8">
        <f>4.4632 * CHOOSE(CONTROL!$C$15, $D$11, 100%, $F$11)</f>
        <v>4.4631999999999996</v>
      </c>
      <c r="D87" s="8">
        <f>4.4469 * CHOOSE( CONTROL!$C$15, $D$11, 100%, $F$11)</f>
        <v>4.4469000000000003</v>
      </c>
      <c r="E87" s="12">
        <f>4.4517 * CHOOSE( CONTROL!$C$15, $D$11, 100%, $F$11)</f>
        <v>4.4516999999999998</v>
      </c>
      <c r="F87" s="4">
        <f>5.4469 * CHOOSE(CONTROL!$C$15, $D$11, 100%, $F$11)</f>
        <v>5.4469000000000003</v>
      </c>
      <c r="G87" s="8">
        <f>4.3536 * CHOOSE( CONTROL!$C$15, $D$11, 100%, $F$11)</f>
        <v>4.3536000000000001</v>
      </c>
      <c r="H87" s="4">
        <f>5.2333 * CHOOSE(CONTROL!$C$15, $D$11, 100%, $F$11)</f>
        <v>5.2332999999999998</v>
      </c>
      <c r="I87" s="8">
        <f>4.3667 * CHOOSE(CONTROL!$C$15, $D$11, 100%, $F$11)</f>
        <v>4.3666999999999998</v>
      </c>
      <c r="J87" s="4">
        <f>4.2618 * CHOOSE(CONTROL!$C$15, $D$11, 100%, $F$11)</f>
        <v>4.2618</v>
      </c>
      <c r="K87" s="4"/>
      <c r="L87" s="9">
        <v>28.000499999999999</v>
      </c>
      <c r="M87" s="9">
        <v>11.6745</v>
      </c>
      <c r="N87" s="9">
        <v>4.7850000000000001</v>
      </c>
      <c r="O87" s="9">
        <v>0.36249999999999999</v>
      </c>
      <c r="P87" s="9">
        <v>1.2522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4.4446 * CHOOSE(CONTROL!$C$15, $D$11, 100%, $F$11)</f>
        <v>4.4446000000000003</v>
      </c>
      <c r="C88" s="8">
        <f>4.4551 * CHOOSE(CONTROL!$C$15, $D$11, 100%, $F$11)</f>
        <v>4.4550999999999998</v>
      </c>
      <c r="D88" s="8">
        <f>4.4411 * CHOOSE( CONTROL!$C$15, $D$11, 100%, $F$11)</f>
        <v>4.4410999999999996</v>
      </c>
      <c r="E88" s="12">
        <f>4.4451 * CHOOSE( CONTROL!$C$15, $D$11, 100%, $F$11)</f>
        <v>4.4451000000000001</v>
      </c>
      <c r="F88" s="4">
        <f>5.4388 * CHOOSE(CONTROL!$C$15, $D$11, 100%, $F$11)</f>
        <v>5.4387999999999996</v>
      </c>
      <c r="G88" s="8">
        <f>4.3475 * CHOOSE( CONTROL!$C$15, $D$11, 100%, $F$11)</f>
        <v>4.3475000000000001</v>
      </c>
      <c r="H88" s="4">
        <f>5.2254 * CHOOSE(CONTROL!$C$15, $D$11, 100%, $F$11)</f>
        <v>5.2253999999999996</v>
      </c>
      <c r="I88" s="8">
        <f>4.3665 * CHOOSE(CONTROL!$C$15, $D$11, 100%, $F$11)</f>
        <v>4.3665000000000003</v>
      </c>
      <c r="J88" s="4">
        <f>4.2541 * CHOOSE(CONTROL!$C$15, $D$11, 100%, $F$11)</f>
        <v>4.2541000000000002</v>
      </c>
      <c r="K88" s="4"/>
      <c r="L88" s="9">
        <v>28.933900000000001</v>
      </c>
      <c r="M88" s="9">
        <v>12.063700000000001</v>
      </c>
      <c r="N88" s="9">
        <v>4.9444999999999997</v>
      </c>
      <c r="O88" s="9">
        <v>0.37459999999999999</v>
      </c>
      <c r="P88" s="9">
        <v>1.2939000000000001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4.4311 * CHOOSE(CONTROL!$C$15, $D$11, 100%, $F$11)</f>
        <v>4.4310999999999998</v>
      </c>
      <c r="C89" s="8">
        <f>4.4416 * CHOOSE(CONTROL!$C$15, $D$11, 100%, $F$11)</f>
        <v>4.4416000000000002</v>
      </c>
      <c r="D89" s="8">
        <f>4.4409 * CHOOSE( CONTROL!$C$15, $D$11, 100%, $F$11)</f>
        <v>4.4409000000000001</v>
      </c>
      <c r="E89" s="12">
        <f>4.44 * CHOOSE( CONTROL!$C$15, $D$11, 100%, $F$11)</f>
        <v>4.4400000000000004</v>
      </c>
      <c r="F89" s="4">
        <f>5.4541 * CHOOSE(CONTROL!$C$15, $D$11, 100%, $F$11)</f>
        <v>5.4541000000000004</v>
      </c>
      <c r="G89" s="8">
        <f>4.3479 * CHOOSE( CONTROL!$C$15, $D$11, 100%, $F$11)</f>
        <v>4.3479000000000001</v>
      </c>
      <c r="H89" s="4">
        <f>5.2402 * CHOOSE(CONTROL!$C$15, $D$11, 100%, $F$11)</f>
        <v>5.2401999999999997</v>
      </c>
      <c r="I89" s="8">
        <f>4.3519 * CHOOSE(CONTROL!$C$15, $D$11, 100%, $F$11)</f>
        <v>4.3518999999999997</v>
      </c>
      <c r="J89" s="4">
        <f>4.2412 * CHOOSE(CONTROL!$C$15, $D$11, 100%, $F$11)</f>
        <v>4.2412000000000001</v>
      </c>
      <c r="K89" s="4"/>
      <c r="L89" s="9">
        <v>28.933900000000001</v>
      </c>
      <c r="M89" s="9">
        <v>12.063700000000001</v>
      </c>
      <c r="N89" s="9">
        <v>4.9444999999999997</v>
      </c>
      <c r="O89" s="9">
        <v>0.37459999999999999</v>
      </c>
      <c r="P89" s="9">
        <v>1.2939000000000001</v>
      </c>
      <c r="Q89" s="9">
        <v>32.8123</v>
      </c>
      <c r="R89" s="9"/>
      <c r="S89" s="11"/>
    </row>
    <row r="90" spans="1:19" ht="15.75">
      <c r="A90" s="13">
        <v>44593</v>
      </c>
      <c r="B90" s="8">
        <f>4.145 * CHOOSE(CONTROL!$C$15, $D$11, 100%, $F$11)</f>
        <v>4.1449999999999996</v>
      </c>
      <c r="C90" s="8">
        <f>4.1554 * CHOOSE(CONTROL!$C$15, $D$11, 100%, $F$11)</f>
        <v>4.1554000000000002</v>
      </c>
      <c r="D90" s="8">
        <f>4.1569 * CHOOSE( CONTROL!$C$15, $D$11, 100%, $F$11)</f>
        <v>4.1569000000000003</v>
      </c>
      <c r="E90" s="12">
        <f>4.1552 * CHOOSE( CONTROL!$C$15, $D$11, 100%, $F$11)</f>
        <v>4.1551999999999998</v>
      </c>
      <c r="F90" s="4">
        <f>5.1601 * CHOOSE(CONTROL!$C$15, $D$11, 100%, $F$11)</f>
        <v>5.1600999999999999</v>
      </c>
      <c r="G90" s="8">
        <f>4.0688 * CHOOSE( CONTROL!$C$15, $D$11, 100%, $F$11)</f>
        <v>4.0688000000000004</v>
      </c>
      <c r="H90" s="4">
        <f>4.9537 * CHOOSE(CONTROL!$C$15, $D$11, 100%, $F$11)</f>
        <v>4.9537000000000004</v>
      </c>
      <c r="I90" s="8">
        <f>4.0666 * CHOOSE(CONTROL!$C$15, $D$11, 100%, $F$11)</f>
        <v>4.0666000000000002</v>
      </c>
      <c r="J90" s="4">
        <f>3.967 * CHOOSE(CONTROL!$C$15, $D$11, 100%, $F$11)</f>
        <v>3.9670000000000001</v>
      </c>
      <c r="K90" s="4"/>
      <c r="L90" s="9">
        <v>26.133800000000001</v>
      </c>
      <c r="M90" s="9">
        <v>10.8962</v>
      </c>
      <c r="N90" s="9">
        <v>4.4660000000000002</v>
      </c>
      <c r="O90" s="9">
        <v>0.33829999999999999</v>
      </c>
      <c r="P90" s="9">
        <v>1.1687000000000001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4.0569 * CHOOSE(CONTROL!$C$15, $D$11, 100%, $F$11)</f>
        <v>4.0568999999999997</v>
      </c>
      <c r="C91" s="8">
        <f>4.0673 * CHOOSE(CONTROL!$C$15, $D$11, 100%, $F$11)</f>
        <v>4.0673000000000004</v>
      </c>
      <c r="D91" s="8">
        <f>4.0483 * CHOOSE( CONTROL!$C$15, $D$11, 100%, $F$11)</f>
        <v>4.0483000000000002</v>
      </c>
      <c r="E91" s="12">
        <f>4.0541 * CHOOSE( CONTROL!$C$15, $D$11, 100%, $F$11)</f>
        <v>4.0541</v>
      </c>
      <c r="F91" s="4">
        <f>5.0558 * CHOOSE(CONTROL!$C$15, $D$11, 100%, $F$11)</f>
        <v>5.0557999999999996</v>
      </c>
      <c r="G91" s="8">
        <f>3.9621 * CHOOSE( CONTROL!$C$15, $D$11, 100%, $F$11)</f>
        <v>3.9621</v>
      </c>
      <c r="H91" s="4">
        <f>4.852 * CHOOSE(CONTROL!$C$15, $D$11, 100%, $F$11)</f>
        <v>4.8520000000000003</v>
      </c>
      <c r="I91" s="8">
        <f>3.9426 * CHOOSE(CONTROL!$C$15, $D$11, 100%, $F$11)</f>
        <v>3.9426000000000001</v>
      </c>
      <c r="J91" s="4">
        <f>3.8825 * CHOOSE(CONTROL!$C$15, $D$11, 100%, $F$11)</f>
        <v>3.8824999999999998</v>
      </c>
      <c r="K91" s="4"/>
      <c r="L91" s="9">
        <v>28.933900000000001</v>
      </c>
      <c r="M91" s="9">
        <v>12.063700000000001</v>
      </c>
      <c r="N91" s="9">
        <v>4.9444999999999997</v>
      </c>
      <c r="O91" s="9">
        <v>0.37459999999999999</v>
      </c>
      <c r="P91" s="9">
        <v>1.2939000000000001</v>
      </c>
      <c r="Q91" s="9">
        <v>32.8123</v>
      </c>
      <c r="R91" s="9"/>
      <c r="S91" s="11"/>
    </row>
    <row r="92" spans="1:19" ht="15.75">
      <c r="A92" s="13">
        <v>44652</v>
      </c>
      <c r="B92" s="8">
        <f>4.1185 * CHOOSE(CONTROL!$C$15, $D$11, 100%, $F$11)</f>
        <v>4.1185</v>
      </c>
      <c r="C92" s="8">
        <f>4.1289 * CHOOSE(CONTROL!$C$15, $D$11, 100%, $F$11)</f>
        <v>4.1288999999999998</v>
      </c>
      <c r="D92" s="8">
        <f>4.1329 * CHOOSE( CONTROL!$C$15, $D$11, 100%, $F$11)</f>
        <v>4.1329000000000002</v>
      </c>
      <c r="E92" s="12">
        <f>4.1304 * CHOOSE( CONTROL!$C$15, $D$11, 100%, $F$11)</f>
        <v>4.1303999999999998</v>
      </c>
      <c r="F92" s="4">
        <f>5.1257 * CHOOSE(CONTROL!$C$15, $D$11, 100%, $F$11)</f>
        <v>5.1257000000000001</v>
      </c>
      <c r="G92" s="8">
        <f>4.0105 * CHOOSE( CONTROL!$C$15, $D$11, 100%, $F$11)</f>
        <v>4.0105000000000004</v>
      </c>
      <c r="H92" s="4">
        <f>4.9202 * CHOOSE(CONTROL!$C$15, $D$11, 100%, $F$11)</f>
        <v>4.9202000000000004</v>
      </c>
      <c r="I92" s="8">
        <f>3.9918 * CHOOSE(CONTROL!$C$15, $D$11, 100%, $F$11)</f>
        <v>3.9918</v>
      </c>
      <c r="J92" s="4">
        <f>3.9415 * CHOOSE(CONTROL!$C$15, $D$11, 100%, $F$11)</f>
        <v>3.9415</v>
      </c>
      <c r="K92" s="4"/>
      <c r="L92" s="9">
        <v>29.665800000000001</v>
      </c>
      <c r="M92" s="9">
        <v>11.6745</v>
      </c>
      <c r="N92" s="9">
        <v>4.7850000000000001</v>
      </c>
      <c r="O92" s="9">
        <v>0.36249999999999999</v>
      </c>
      <c r="P92" s="9">
        <v>1.1798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CONTROL!$C$32, 4.2333, 4.2281) * CHOOSE(CONTROL!$C$15, $D$11, 100%, $F$11)</f>
        <v>4.2332999999999998</v>
      </c>
      <c r="C93" s="8">
        <f>CHOOSE( CONTROL!$C$32, 4.2438, 4.2385) * CHOOSE(CONTROL!$C$15, $D$11, 100%, $F$11)</f>
        <v>4.2438000000000002</v>
      </c>
      <c r="D93" s="8">
        <f>CHOOSE( CONTROL!$C$32, 4.2566, 4.2513) * CHOOSE( CONTROL!$C$15, $D$11, 100%, $F$11)</f>
        <v>4.2565999999999997</v>
      </c>
      <c r="E93" s="12">
        <f>CHOOSE( CONTROL!$C$32, 4.2504, 4.2451) * CHOOSE( CONTROL!$C$15, $D$11, 100%, $F$11)</f>
        <v>4.2504</v>
      </c>
      <c r="F93" s="4">
        <f>CHOOSE( CONTROL!$C$32, 5.2562, 5.251) * CHOOSE(CONTROL!$C$15, $D$11, 100%, $F$11)</f>
        <v>5.2561999999999998</v>
      </c>
      <c r="G93" s="8">
        <f>CHOOSE( CONTROL!$C$32, 4.1281, 4.123) * CHOOSE( CONTROL!$C$15, $D$11, 100%, $F$11)</f>
        <v>4.1280999999999999</v>
      </c>
      <c r="H93" s="4">
        <f>CHOOSE( CONTROL!$C$32, 5.0474, 5.0423) * CHOOSE(CONTROL!$C$15, $D$11, 100%, $F$11)</f>
        <v>5.0473999999999997</v>
      </c>
      <c r="I93" s="8">
        <f>CHOOSE( CONTROL!$C$32, 4.1072, 4.1021) * CHOOSE(CONTROL!$C$15, $D$11, 100%, $F$11)</f>
        <v>4.1071999999999997</v>
      </c>
      <c r="J93" s="4">
        <f>CHOOSE( CONTROL!$C$32, 4.0516, 4.0466) * CHOOSE(CONTROL!$C$15, $D$11, 100%, $F$11)</f>
        <v>4.0515999999999996</v>
      </c>
      <c r="K93" s="4"/>
      <c r="L93" s="9">
        <v>30.896899999999999</v>
      </c>
      <c r="M93" s="9">
        <v>12.063700000000001</v>
      </c>
      <c r="N93" s="9">
        <v>4.9444999999999997</v>
      </c>
      <c r="O93" s="9">
        <v>0.37459999999999999</v>
      </c>
      <c r="P93" s="9">
        <v>1.2192000000000001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CONTROL!$C$32, 4.1654, 4.1602) * CHOOSE(CONTROL!$C$15, $D$11, 100%, $F$11)</f>
        <v>4.1654</v>
      </c>
      <c r="C94" s="8">
        <f>CHOOSE( CONTROL!$C$32, 4.1759, 4.1706) * CHOOSE(CONTROL!$C$15, $D$11, 100%, $F$11)</f>
        <v>4.1759000000000004</v>
      </c>
      <c r="D94" s="8">
        <f>CHOOSE( CONTROL!$C$32, 4.1963, 4.191) * CHOOSE( CONTROL!$C$15, $D$11, 100%, $F$11)</f>
        <v>4.1962999999999999</v>
      </c>
      <c r="E94" s="12">
        <f>CHOOSE( CONTROL!$C$32, 4.1873, 4.182) * CHOOSE( CONTROL!$C$15, $D$11, 100%, $F$11)</f>
        <v>4.1872999999999996</v>
      </c>
      <c r="F94" s="4">
        <f>CHOOSE( CONTROL!$C$32, 5.2009, 5.1956) * CHOOSE(CONTROL!$C$15, $D$11, 100%, $F$11)</f>
        <v>5.2008999999999999</v>
      </c>
      <c r="G94" s="8">
        <f>CHOOSE( CONTROL!$C$32, 4.0658, 4.0607) * CHOOSE( CONTROL!$C$15, $D$11, 100%, $F$11)</f>
        <v>4.0658000000000003</v>
      </c>
      <c r="H94" s="4">
        <f>CHOOSE( CONTROL!$C$32, 4.9934, 4.9883) * CHOOSE(CONTROL!$C$15, $D$11, 100%, $F$11)</f>
        <v>4.9934000000000003</v>
      </c>
      <c r="I94" s="8">
        <f>CHOOSE( CONTROL!$C$32, 4.0473, 4.0423) * CHOOSE(CONTROL!$C$15, $D$11, 100%, $F$11)</f>
        <v>4.0472999999999999</v>
      </c>
      <c r="J94" s="4">
        <f>CHOOSE( CONTROL!$C$32, 3.9866, 3.9815) * CHOOSE(CONTROL!$C$15, $D$11, 100%, $F$11)</f>
        <v>3.9866000000000001</v>
      </c>
      <c r="K94" s="4"/>
      <c r="L94" s="9">
        <v>29.900200000000002</v>
      </c>
      <c r="M94" s="9">
        <v>11.6745</v>
      </c>
      <c r="N94" s="9">
        <v>4.7850000000000001</v>
      </c>
      <c r="O94" s="9">
        <v>0.36249999999999999</v>
      </c>
      <c r="P94" s="9">
        <v>1.1798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CONTROL!$C$32, 4.3442, 4.339) * CHOOSE(CONTROL!$C$15, $D$11, 100%, $F$11)</f>
        <v>4.3441999999999998</v>
      </c>
      <c r="C95" s="8">
        <f>CHOOSE( CONTROL!$C$32, 4.3547, 4.3494) * CHOOSE(CONTROL!$C$15, $D$11, 100%, $F$11)</f>
        <v>4.3547000000000002</v>
      </c>
      <c r="D95" s="8">
        <f>CHOOSE( CONTROL!$C$32, 4.3653, 4.36) * CHOOSE( CONTROL!$C$15, $D$11, 100%, $F$11)</f>
        <v>4.3653000000000004</v>
      </c>
      <c r="E95" s="12">
        <f>CHOOSE( CONTROL!$C$32, 4.3599, 4.3546) * CHOOSE( CONTROL!$C$15, $D$11, 100%, $F$11)</f>
        <v>4.3598999999999997</v>
      </c>
      <c r="F95" s="4">
        <f>CHOOSE( CONTROL!$C$32, 5.3797, 5.3744) * CHOOSE(CONTROL!$C$15, $D$11, 100%, $F$11)</f>
        <v>5.3796999999999997</v>
      </c>
      <c r="G95" s="8">
        <f>CHOOSE( CONTROL!$C$32, 4.2268, 4.2217) * CHOOSE( CONTROL!$C$15, $D$11, 100%, $F$11)</f>
        <v>4.2267999999999999</v>
      </c>
      <c r="H95" s="4">
        <f>CHOOSE( CONTROL!$C$32, 5.1677, 5.1626) * CHOOSE(CONTROL!$C$15, $D$11, 100%, $F$11)</f>
        <v>5.1677</v>
      </c>
      <c r="I95" s="8">
        <f>CHOOSE( CONTROL!$C$32, 4.2221, 4.2171) * CHOOSE(CONTROL!$C$15, $D$11, 100%, $F$11)</f>
        <v>4.2221000000000002</v>
      </c>
      <c r="J95" s="4">
        <f>CHOOSE( CONTROL!$C$32, 4.1579, 4.1528) * CHOOSE(CONTROL!$C$15, $D$11, 100%, $F$11)</f>
        <v>4.1578999999999997</v>
      </c>
      <c r="K95" s="4"/>
      <c r="L95" s="9">
        <v>30.896899999999999</v>
      </c>
      <c r="M95" s="9">
        <v>12.063700000000001</v>
      </c>
      <c r="N95" s="9">
        <v>4.9444999999999997</v>
      </c>
      <c r="O95" s="9">
        <v>0.37459999999999999</v>
      </c>
      <c r="P95" s="9">
        <v>1.2192000000000001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CONTROL!$C$32, 4.0097, 4.0044) * CHOOSE(CONTROL!$C$15, $D$11, 100%, $F$11)</f>
        <v>4.0096999999999996</v>
      </c>
      <c r="C96" s="8">
        <f>CHOOSE( CONTROL!$C$32, 4.0201, 4.0148) * CHOOSE(CONTROL!$C$15, $D$11, 100%, $F$11)</f>
        <v>4.0201000000000002</v>
      </c>
      <c r="D96" s="8">
        <f>CHOOSE( CONTROL!$C$32, 4.031, 4.0258) * CHOOSE( CONTROL!$C$15, $D$11, 100%, $F$11)</f>
        <v>4.0309999999999997</v>
      </c>
      <c r="E96" s="12">
        <f>CHOOSE( CONTROL!$C$32, 4.0255, 4.0202) * CHOOSE( CONTROL!$C$15, $D$11, 100%, $F$11)</f>
        <v>4.0255000000000001</v>
      </c>
      <c r="F96" s="4">
        <f>CHOOSE( CONTROL!$C$32, 5.0451, 5.0398) * CHOOSE(CONTROL!$C$15, $D$11, 100%, $F$11)</f>
        <v>5.0450999999999997</v>
      </c>
      <c r="G96" s="8">
        <f>CHOOSE( CONTROL!$C$32, 3.9012, 3.8961) * CHOOSE( CONTROL!$C$15, $D$11, 100%, $F$11)</f>
        <v>3.9011999999999998</v>
      </c>
      <c r="H96" s="4">
        <f>CHOOSE( CONTROL!$C$32, 4.8416, 4.8365) * CHOOSE(CONTROL!$C$15, $D$11, 100%, $F$11)</f>
        <v>4.8415999999999997</v>
      </c>
      <c r="I96" s="8">
        <f>CHOOSE( CONTROL!$C$32, 3.903, 3.898) * CHOOSE(CONTROL!$C$15, $D$11, 100%, $F$11)</f>
        <v>3.903</v>
      </c>
      <c r="J96" s="4">
        <f>CHOOSE( CONTROL!$C$32, 3.8373, 3.8323) * CHOOSE(CONTROL!$C$15, $D$11, 100%, $F$11)</f>
        <v>3.8372999999999999</v>
      </c>
      <c r="K96" s="4"/>
      <c r="L96" s="9">
        <v>29.520499999999998</v>
      </c>
      <c r="M96" s="9">
        <v>12.063700000000001</v>
      </c>
      <c r="N96" s="9">
        <v>4.9444999999999997</v>
      </c>
      <c r="O96" s="9">
        <v>0.37459999999999999</v>
      </c>
      <c r="P96" s="9">
        <v>1.2192000000000001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CONTROL!$C$32, 3.9259, 3.9206) * CHOOSE(CONTROL!$C$15, $D$11, 100%, $F$11)</f>
        <v>3.9258999999999999</v>
      </c>
      <c r="C97" s="8">
        <f>CHOOSE( CONTROL!$C$32, 3.9363, 3.9311) * CHOOSE(CONTROL!$C$15, $D$11, 100%, $F$11)</f>
        <v>3.9363000000000001</v>
      </c>
      <c r="D97" s="8">
        <f>CHOOSE( CONTROL!$C$32, 3.9474, 3.9422) * CHOOSE( CONTROL!$C$15, $D$11, 100%, $F$11)</f>
        <v>3.9474</v>
      </c>
      <c r="E97" s="12">
        <f>CHOOSE( CONTROL!$C$32, 3.9418, 3.9366) * CHOOSE( CONTROL!$C$15, $D$11, 100%, $F$11)</f>
        <v>3.9418000000000002</v>
      </c>
      <c r="F97" s="4">
        <f>CHOOSE( CONTROL!$C$32, 4.9613, 4.9561) * CHOOSE(CONTROL!$C$15, $D$11, 100%, $F$11)</f>
        <v>4.9612999999999996</v>
      </c>
      <c r="G97" s="8">
        <f>CHOOSE( CONTROL!$C$32, 3.8198, 3.8146) * CHOOSE( CONTROL!$C$15, $D$11, 100%, $F$11)</f>
        <v>3.8197999999999999</v>
      </c>
      <c r="H97" s="4">
        <f>CHOOSE( CONTROL!$C$32, 4.7599, 4.7548) * CHOOSE(CONTROL!$C$15, $D$11, 100%, $F$11)</f>
        <v>4.7599</v>
      </c>
      <c r="I97" s="8">
        <f>CHOOSE( CONTROL!$C$32, 3.8234, 3.8183) * CHOOSE(CONTROL!$C$15, $D$11, 100%, $F$11)</f>
        <v>3.8233999999999999</v>
      </c>
      <c r="J97" s="4">
        <f>CHOOSE( CONTROL!$C$32, 3.757, 3.752) * CHOOSE(CONTROL!$C$15, $D$11, 100%, $F$11)</f>
        <v>3.7570000000000001</v>
      </c>
      <c r="K97" s="4"/>
      <c r="L97" s="9">
        <v>28.568200000000001</v>
      </c>
      <c r="M97" s="9">
        <v>11.6745</v>
      </c>
      <c r="N97" s="9">
        <v>4.7850000000000001</v>
      </c>
      <c r="O97" s="9">
        <v>0.36249999999999999</v>
      </c>
      <c r="P97" s="9">
        <v>1.1798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4.0946 * CHOOSE(CONTROL!$C$15, $D$11, 100%, $F$11)</f>
        <v>4.0945999999999998</v>
      </c>
      <c r="C98" s="8">
        <f>4.105 * CHOOSE(CONTROL!$C$15, $D$11, 100%, $F$11)</f>
        <v>4.1050000000000004</v>
      </c>
      <c r="D98" s="8">
        <f>4.1174 * CHOOSE( CONTROL!$C$15, $D$11, 100%, $F$11)</f>
        <v>4.1173999999999999</v>
      </c>
      <c r="E98" s="12">
        <f>4.1122 * CHOOSE( CONTROL!$C$15, $D$11, 100%, $F$11)</f>
        <v>4.1121999999999996</v>
      </c>
      <c r="F98" s="4">
        <f>5.13 * CHOOSE(CONTROL!$C$15, $D$11, 100%, $F$11)</f>
        <v>5.13</v>
      </c>
      <c r="G98" s="8">
        <f>3.9836 * CHOOSE( CONTROL!$C$15, $D$11, 100%, $F$11)</f>
        <v>3.9836</v>
      </c>
      <c r="H98" s="4">
        <f>4.9243 * CHOOSE(CONTROL!$C$15, $D$11, 100%, $F$11)</f>
        <v>4.9242999999999997</v>
      </c>
      <c r="I98" s="8">
        <f>3.9865 * CHOOSE(CONTROL!$C$15, $D$11, 100%, $F$11)</f>
        <v>3.9864999999999999</v>
      </c>
      <c r="J98" s="4">
        <f>3.9187 * CHOOSE(CONTROL!$C$15, $D$11, 100%, $F$11)</f>
        <v>3.9186999999999999</v>
      </c>
      <c r="K98" s="4"/>
      <c r="L98" s="9">
        <v>28.921800000000001</v>
      </c>
      <c r="M98" s="9">
        <v>12.063700000000001</v>
      </c>
      <c r="N98" s="9">
        <v>4.9444999999999997</v>
      </c>
      <c r="O98" s="9">
        <v>0.37459999999999999</v>
      </c>
      <c r="P98" s="9">
        <v>1.2192000000000001</v>
      </c>
      <c r="Q98" s="9">
        <v>32.8123</v>
      </c>
      <c r="R98" s="9"/>
      <c r="S98" s="11"/>
    </row>
    <row r="99" spans="1:19" ht="15.75">
      <c r="A99" s="13">
        <v>44866</v>
      </c>
      <c r="B99" s="8">
        <f>4.4157 * CHOOSE(CONTROL!$C$15, $D$11, 100%, $F$11)</f>
        <v>4.4157000000000002</v>
      </c>
      <c r="C99" s="8">
        <f>4.4261 * CHOOSE(CONTROL!$C$15, $D$11, 100%, $F$11)</f>
        <v>4.4260999999999999</v>
      </c>
      <c r="D99" s="8">
        <f>4.4098 * CHOOSE( CONTROL!$C$15, $D$11, 100%, $F$11)</f>
        <v>4.4097999999999997</v>
      </c>
      <c r="E99" s="12">
        <f>4.4147 * CHOOSE( CONTROL!$C$15, $D$11, 100%, $F$11)</f>
        <v>4.4146999999999998</v>
      </c>
      <c r="F99" s="4">
        <f>5.4099 * CHOOSE(CONTROL!$C$15, $D$11, 100%, $F$11)</f>
        <v>5.4099000000000004</v>
      </c>
      <c r="G99" s="8">
        <f>4.3175 * CHOOSE( CONTROL!$C$15, $D$11, 100%, $F$11)</f>
        <v>4.3174999999999999</v>
      </c>
      <c r="H99" s="4">
        <f>5.1971 * CHOOSE(CONTROL!$C$15, $D$11, 100%, $F$11)</f>
        <v>5.1970999999999998</v>
      </c>
      <c r="I99" s="8">
        <f>4.3312 * CHOOSE(CONTROL!$C$15, $D$11, 100%, $F$11)</f>
        <v>4.3311999999999999</v>
      </c>
      <c r="J99" s="4">
        <f>4.2263 * CHOOSE(CONTROL!$C$15, $D$11, 100%, $F$11)</f>
        <v>4.2263000000000002</v>
      </c>
      <c r="K99" s="4"/>
      <c r="L99" s="9">
        <v>26.515499999999999</v>
      </c>
      <c r="M99" s="9">
        <v>11.6745</v>
      </c>
      <c r="N99" s="9">
        <v>4.7850000000000001</v>
      </c>
      <c r="O99" s="9">
        <v>0.36249999999999999</v>
      </c>
      <c r="P99" s="9">
        <v>1.2522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4.4076 * CHOOSE(CONTROL!$C$15, $D$11, 100%, $F$11)</f>
        <v>4.4076000000000004</v>
      </c>
      <c r="C100" s="8">
        <f>4.4181 * CHOOSE(CONTROL!$C$15, $D$11, 100%, $F$11)</f>
        <v>4.4180999999999999</v>
      </c>
      <c r="D100" s="8">
        <f>4.4041 * CHOOSE( CONTROL!$C$15, $D$11, 100%, $F$11)</f>
        <v>4.4040999999999997</v>
      </c>
      <c r="E100" s="12">
        <f>4.4081 * CHOOSE( CONTROL!$C$15, $D$11, 100%, $F$11)</f>
        <v>4.4081000000000001</v>
      </c>
      <c r="F100" s="4">
        <f>5.4018 * CHOOSE(CONTROL!$C$15, $D$11, 100%, $F$11)</f>
        <v>5.4017999999999997</v>
      </c>
      <c r="G100" s="8">
        <f>4.3114 * CHOOSE( CONTROL!$C$15, $D$11, 100%, $F$11)</f>
        <v>4.3113999999999999</v>
      </c>
      <c r="H100" s="4">
        <f>5.1893 * CHOOSE(CONTROL!$C$15, $D$11, 100%, $F$11)</f>
        <v>5.1893000000000002</v>
      </c>
      <c r="I100" s="8">
        <f>4.3311 * CHOOSE(CONTROL!$C$15, $D$11, 100%, $F$11)</f>
        <v>4.3311000000000002</v>
      </c>
      <c r="J100" s="4">
        <f>4.2186 * CHOOSE(CONTROL!$C$15, $D$11, 100%, $F$11)</f>
        <v>4.2186000000000003</v>
      </c>
      <c r="K100" s="4"/>
      <c r="L100" s="9">
        <v>27.3993</v>
      </c>
      <c r="M100" s="9">
        <v>12.063700000000001</v>
      </c>
      <c r="N100" s="9">
        <v>4.9444999999999997</v>
      </c>
      <c r="O100" s="9">
        <v>0.37459999999999999</v>
      </c>
      <c r="P100" s="9">
        <v>1.2939000000000001</v>
      </c>
      <c r="Q100" s="9">
        <v>32.8123</v>
      </c>
      <c r="R100" s="9"/>
      <c r="S100" s="11"/>
    </row>
    <row r="101" spans="1:19" ht="15.75">
      <c r="A101" s="13">
        <v>44927</v>
      </c>
      <c r="B101" s="8">
        <f>4.7777 * CHOOSE(CONTROL!$C$15, $D$11, 100%, $F$11)</f>
        <v>4.7777000000000003</v>
      </c>
      <c r="C101" s="8">
        <f>4.7881 * CHOOSE(CONTROL!$C$15, $D$11, 100%, $F$11)</f>
        <v>4.7881</v>
      </c>
      <c r="D101" s="8">
        <f>4.7874 * CHOOSE( CONTROL!$C$15, $D$11, 100%, $F$11)</f>
        <v>4.7873999999999999</v>
      </c>
      <c r="E101" s="12">
        <f>4.7865 * CHOOSE( CONTROL!$C$15, $D$11, 100%, $F$11)</f>
        <v>4.7865000000000002</v>
      </c>
      <c r="F101" s="4">
        <f>5.8006 * CHOOSE(CONTROL!$C$15, $D$11, 100%, $F$11)</f>
        <v>5.8006000000000002</v>
      </c>
      <c r="G101" s="8">
        <f>4.6857 * CHOOSE( CONTROL!$C$15, $D$11, 100%, $F$11)</f>
        <v>4.6856999999999998</v>
      </c>
      <c r="H101" s="4">
        <f>5.578 * CHOOSE(CONTROL!$C$15, $D$11, 100%, $F$11)</f>
        <v>5.5780000000000003</v>
      </c>
      <c r="I101" s="8">
        <f>4.6841 * CHOOSE(CONTROL!$C$15, $D$11, 100%, $F$11)</f>
        <v>4.6840999999999999</v>
      </c>
      <c r="J101" s="4">
        <f>4.5732 * CHOOSE(CONTROL!$C$15, $D$11, 100%, $F$11)</f>
        <v>4.5731999999999999</v>
      </c>
      <c r="K101" s="4"/>
      <c r="L101" s="9">
        <v>27.3993</v>
      </c>
      <c r="M101" s="9">
        <v>12.063700000000001</v>
      </c>
      <c r="N101" s="9">
        <v>4.9444999999999997</v>
      </c>
      <c r="O101" s="9">
        <v>0.37459999999999999</v>
      </c>
      <c r="P101" s="9">
        <v>1.2939000000000001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4.4691 * CHOOSE(CONTROL!$C$15, $D$11, 100%, $F$11)</f>
        <v>4.4691000000000001</v>
      </c>
      <c r="C102" s="8">
        <f>4.4795 * CHOOSE(CONTROL!$C$15, $D$11, 100%, $F$11)</f>
        <v>4.4794999999999998</v>
      </c>
      <c r="D102" s="8">
        <f>4.4811 * CHOOSE( CONTROL!$C$15, $D$11, 100%, $F$11)</f>
        <v>4.4810999999999996</v>
      </c>
      <c r="E102" s="12">
        <f>4.4794 * CHOOSE( CONTROL!$C$15, $D$11, 100%, $F$11)</f>
        <v>4.4794</v>
      </c>
      <c r="F102" s="4">
        <f>5.4842 * CHOOSE(CONTROL!$C$15, $D$11, 100%, $F$11)</f>
        <v>5.4842000000000004</v>
      </c>
      <c r="G102" s="8">
        <f>4.3847 * CHOOSE( CONTROL!$C$15, $D$11, 100%, $F$11)</f>
        <v>4.3846999999999996</v>
      </c>
      <c r="H102" s="4">
        <f>5.2696 * CHOOSE(CONTROL!$C$15, $D$11, 100%, $F$11)</f>
        <v>5.2695999999999996</v>
      </c>
      <c r="I102" s="8">
        <f>4.3773 * CHOOSE(CONTROL!$C$15, $D$11, 100%, $F$11)</f>
        <v>4.3773</v>
      </c>
      <c r="J102" s="4">
        <f>4.2775 * CHOOSE(CONTROL!$C$15, $D$11, 100%, $F$11)</f>
        <v>4.2774999999999999</v>
      </c>
      <c r="K102" s="4"/>
      <c r="L102" s="9">
        <v>24.747800000000002</v>
      </c>
      <c r="M102" s="9">
        <v>10.8962</v>
      </c>
      <c r="N102" s="9">
        <v>4.4660000000000002</v>
      </c>
      <c r="O102" s="9">
        <v>0.33829999999999999</v>
      </c>
      <c r="P102" s="9">
        <v>1.1687000000000001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4.3741 * CHOOSE(CONTROL!$C$15, $D$11, 100%, $F$11)</f>
        <v>4.3741000000000003</v>
      </c>
      <c r="C103" s="8">
        <f>4.3845 * CHOOSE(CONTROL!$C$15, $D$11, 100%, $F$11)</f>
        <v>4.3845000000000001</v>
      </c>
      <c r="D103" s="8">
        <f>4.3655 * CHOOSE( CONTROL!$C$15, $D$11, 100%, $F$11)</f>
        <v>4.3654999999999999</v>
      </c>
      <c r="E103" s="12">
        <f>4.3713 * CHOOSE( CONTROL!$C$15, $D$11, 100%, $F$11)</f>
        <v>4.3712999999999997</v>
      </c>
      <c r="F103" s="4">
        <f>5.373 * CHOOSE(CONTROL!$C$15, $D$11, 100%, $F$11)</f>
        <v>5.3730000000000002</v>
      </c>
      <c r="G103" s="8">
        <f>4.2713 * CHOOSE( CONTROL!$C$15, $D$11, 100%, $F$11)</f>
        <v>4.2713000000000001</v>
      </c>
      <c r="H103" s="4">
        <f>5.1612 * CHOOSE(CONTROL!$C$15, $D$11, 100%, $F$11)</f>
        <v>5.1612</v>
      </c>
      <c r="I103" s="8">
        <f>4.2467 * CHOOSE(CONTROL!$C$15, $D$11, 100%, $F$11)</f>
        <v>4.2466999999999997</v>
      </c>
      <c r="J103" s="4">
        <f>4.1865 * CHOOSE(CONTROL!$C$15, $D$11, 100%, $F$11)</f>
        <v>4.1864999999999997</v>
      </c>
      <c r="K103" s="4"/>
      <c r="L103" s="9">
        <v>27.3993</v>
      </c>
      <c r="M103" s="9">
        <v>12.063700000000001</v>
      </c>
      <c r="N103" s="9">
        <v>4.9444999999999997</v>
      </c>
      <c r="O103" s="9">
        <v>0.37459999999999999</v>
      </c>
      <c r="P103" s="9">
        <v>1.2939000000000001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4.4405 * CHOOSE(CONTROL!$C$15, $D$11, 100%, $F$11)</f>
        <v>4.4405000000000001</v>
      </c>
      <c r="C104" s="8">
        <f>4.4509 * CHOOSE(CONTROL!$C$15, $D$11, 100%, $F$11)</f>
        <v>4.4508999999999999</v>
      </c>
      <c r="D104" s="8">
        <f>4.4549 * CHOOSE( CONTROL!$C$15, $D$11, 100%, $F$11)</f>
        <v>4.4549000000000003</v>
      </c>
      <c r="E104" s="12">
        <f>4.4524 * CHOOSE( CONTROL!$C$15, $D$11, 100%, $F$11)</f>
        <v>4.4523999999999999</v>
      </c>
      <c r="F104" s="4">
        <f>5.4477 * CHOOSE(CONTROL!$C$15, $D$11, 100%, $F$11)</f>
        <v>5.4477000000000002</v>
      </c>
      <c r="G104" s="8">
        <f>4.3244 * CHOOSE( CONTROL!$C$15, $D$11, 100%, $F$11)</f>
        <v>4.3243999999999998</v>
      </c>
      <c r="H104" s="4">
        <f>5.2341 * CHOOSE(CONTROL!$C$15, $D$11, 100%, $F$11)</f>
        <v>5.2340999999999998</v>
      </c>
      <c r="I104" s="8">
        <f>4.3005 * CHOOSE(CONTROL!$C$15, $D$11, 100%, $F$11)</f>
        <v>4.3005000000000004</v>
      </c>
      <c r="J104" s="4">
        <f>4.2501 * CHOOSE(CONTROL!$C$15, $D$11, 100%, $F$11)</f>
        <v>4.2500999999999998</v>
      </c>
      <c r="K104" s="4"/>
      <c r="L104" s="9">
        <v>27.988800000000001</v>
      </c>
      <c r="M104" s="9">
        <v>11.6745</v>
      </c>
      <c r="N104" s="9">
        <v>4.7850000000000001</v>
      </c>
      <c r="O104" s="9">
        <v>0.36249999999999999</v>
      </c>
      <c r="P104" s="9">
        <v>1.1798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CONTROL!$C$32, 4.5639, 4.5587) * CHOOSE(CONTROL!$C$15, $D$11, 100%, $F$11)</f>
        <v>4.5639000000000003</v>
      </c>
      <c r="C105" s="8">
        <f>CHOOSE( CONTROL!$C$32, 4.5744, 4.5691) * CHOOSE(CONTROL!$C$15, $D$11, 100%, $F$11)</f>
        <v>4.5743999999999998</v>
      </c>
      <c r="D105" s="8">
        <f>CHOOSE( CONTROL!$C$32, 4.5872, 4.5819) * CHOOSE( CONTROL!$C$15, $D$11, 100%, $F$11)</f>
        <v>4.5872000000000002</v>
      </c>
      <c r="E105" s="12">
        <f>CHOOSE( CONTROL!$C$32, 4.581, 4.5757) * CHOOSE( CONTROL!$C$15, $D$11, 100%, $F$11)</f>
        <v>4.5810000000000004</v>
      </c>
      <c r="F105" s="4">
        <f>CHOOSE( CONTROL!$C$32, 5.5868, 5.5816) * CHOOSE(CONTROL!$C$15, $D$11, 100%, $F$11)</f>
        <v>5.5868000000000002</v>
      </c>
      <c r="G105" s="8">
        <f>CHOOSE( CONTROL!$C$32, 4.4504, 4.4453) * CHOOSE( CONTROL!$C$15, $D$11, 100%, $F$11)</f>
        <v>4.4504000000000001</v>
      </c>
      <c r="H105" s="4">
        <f>CHOOSE( CONTROL!$C$32, 5.3696, 5.3645) * CHOOSE(CONTROL!$C$15, $D$11, 100%, $F$11)</f>
        <v>5.3696000000000002</v>
      </c>
      <c r="I105" s="8">
        <f>CHOOSE( CONTROL!$C$32, 4.4241, 4.4191) * CHOOSE(CONTROL!$C$15, $D$11, 100%, $F$11)</f>
        <v>4.4241000000000001</v>
      </c>
      <c r="J105" s="4">
        <f>CHOOSE( CONTROL!$C$32, 4.3684, 4.3634) * CHOOSE(CONTROL!$C$15, $D$11, 100%, $F$11)</f>
        <v>4.3684000000000003</v>
      </c>
      <c r="K105" s="4"/>
      <c r="L105" s="9">
        <v>29.520499999999998</v>
      </c>
      <c r="M105" s="9">
        <v>12.063700000000001</v>
      </c>
      <c r="N105" s="9">
        <v>4.9444999999999997</v>
      </c>
      <c r="O105" s="9">
        <v>0.37459999999999999</v>
      </c>
      <c r="P105" s="9">
        <v>1.2192000000000001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CONTROL!$C$32, 4.4907, 4.4855) * CHOOSE(CONTROL!$C$15, $D$11, 100%, $F$11)</f>
        <v>4.4907000000000004</v>
      </c>
      <c r="C106" s="8">
        <f>CHOOSE( CONTROL!$C$32, 4.5012, 4.4959) * CHOOSE(CONTROL!$C$15, $D$11, 100%, $F$11)</f>
        <v>4.5011999999999999</v>
      </c>
      <c r="D106" s="8">
        <f>CHOOSE( CONTROL!$C$32, 4.5216, 4.5163) * CHOOSE( CONTROL!$C$15, $D$11, 100%, $F$11)</f>
        <v>4.5216000000000003</v>
      </c>
      <c r="E106" s="12">
        <f>CHOOSE( CONTROL!$C$32, 4.5126, 4.5073) * CHOOSE( CONTROL!$C$15, $D$11, 100%, $F$11)</f>
        <v>4.5125999999999999</v>
      </c>
      <c r="F106" s="4">
        <f>CHOOSE( CONTROL!$C$32, 5.5261, 5.5209) * CHOOSE(CONTROL!$C$15, $D$11, 100%, $F$11)</f>
        <v>5.5260999999999996</v>
      </c>
      <c r="G106" s="8">
        <f>CHOOSE( CONTROL!$C$32, 4.3829, 4.3777) * CHOOSE( CONTROL!$C$15, $D$11, 100%, $F$11)</f>
        <v>4.3829000000000002</v>
      </c>
      <c r="H106" s="4">
        <f>CHOOSE( CONTROL!$C$32, 5.3105, 5.3054) * CHOOSE(CONTROL!$C$15, $D$11, 100%, $F$11)</f>
        <v>5.3105000000000002</v>
      </c>
      <c r="I106" s="8">
        <f>CHOOSE( CONTROL!$C$32, 4.3592, 4.3541) * CHOOSE(CONTROL!$C$15, $D$11, 100%, $F$11)</f>
        <v>4.3592000000000004</v>
      </c>
      <c r="J106" s="4">
        <f>CHOOSE( CONTROL!$C$32, 4.2982, 4.2932) * CHOOSE(CONTROL!$C$15, $D$11, 100%, $F$11)</f>
        <v>4.2981999999999996</v>
      </c>
      <c r="K106" s="4"/>
      <c r="L106" s="9">
        <v>28.568200000000001</v>
      </c>
      <c r="M106" s="9">
        <v>11.6745</v>
      </c>
      <c r="N106" s="9">
        <v>4.7850000000000001</v>
      </c>
      <c r="O106" s="9">
        <v>0.36249999999999999</v>
      </c>
      <c r="P106" s="9">
        <v>1.1798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CONTROL!$C$32, 4.6835, 4.6783) * CHOOSE(CONTROL!$C$15, $D$11, 100%, $F$11)</f>
        <v>4.6835000000000004</v>
      </c>
      <c r="C107" s="8">
        <f>CHOOSE( CONTROL!$C$32, 4.6939, 4.6887) * CHOOSE(CONTROL!$C$15, $D$11, 100%, $F$11)</f>
        <v>4.6939000000000002</v>
      </c>
      <c r="D107" s="8">
        <f>CHOOSE( CONTROL!$C$32, 4.7046, 4.6993) * CHOOSE( CONTROL!$C$15, $D$11, 100%, $F$11)</f>
        <v>4.7046000000000001</v>
      </c>
      <c r="E107" s="12">
        <f>CHOOSE( CONTROL!$C$32, 4.6991, 4.6939) * CHOOSE( CONTROL!$C$15, $D$11, 100%, $F$11)</f>
        <v>4.6990999999999996</v>
      </c>
      <c r="F107" s="4">
        <f>CHOOSE( CONTROL!$C$32, 5.7189, 5.7137) * CHOOSE(CONTROL!$C$15, $D$11, 100%, $F$11)</f>
        <v>5.7188999999999997</v>
      </c>
      <c r="G107" s="8">
        <f>CHOOSE( CONTROL!$C$32, 4.5576, 4.5524) * CHOOSE( CONTROL!$C$15, $D$11, 100%, $F$11)</f>
        <v>4.5575999999999999</v>
      </c>
      <c r="H107" s="4">
        <f>CHOOSE( CONTROL!$C$32, 5.4984, 5.4933) * CHOOSE(CONTROL!$C$15, $D$11, 100%, $F$11)</f>
        <v>5.4984000000000002</v>
      </c>
      <c r="I107" s="8">
        <f>CHOOSE( CONTROL!$C$32, 4.5474, 4.5423) * CHOOSE(CONTROL!$C$15, $D$11, 100%, $F$11)</f>
        <v>4.5473999999999997</v>
      </c>
      <c r="J107" s="4">
        <f>CHOOSE( CONTROL!$C$32, 4.483, 4.4779) * CHOOSE(CONTROL!$C$15, $D$11, 100%, $F$11)</f>
        <v>4.4829999999999997</v>
      </c>
      <c r="K107" s="4"/>
      <c r="L107" s="9">
        <v>29.520499999999998</v>
      </c>
      <c r="M107" s="9">
        <v>12.063700000000001</v>
      </c>
      <c r="N107" s="9">
        <v>4.9444999999999997</v>
      </c>
      <c r="O107" s="9">
        <v>0.37459999999999999</v>
      </c>
      <c r="P107" s="9">
        <v>1.2192000000000001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CONTROL!$C$32, 4.3228, 4.3175) * CHOOSE(CONTROL!$C$15, $D$11, 100%, $F$11)</f>
        <v>4.3228</v>
      </c>
      <c r="C108" s="8">
        <f>CHOOSE( CONTROL!$C$32, 4.3332, 4.3279) * CHOOSE(CONTROL!$C$15, $D$11, 100%, $F$11)</f>
        <v>4.3331999999999997</v>
      </c>
      <c r="D108" s="8">
        <f>CHOOSE( CONTROL!$C$32, 4.3441, 4.3389) * CHOOSE( CONTROL!$C$15, $D$11, 100%, $F$11)</f>
        <v>4.3441000000000001</v>
      </c>
      <c r="E108" s="12">
        <f>CHOOSE( CONTROL!$C$32, 4.3386, 4.3333) * CHOOSE( CONTROL!$C$15, $D$11, 100%, $F$11)</f>
        <v>4.3385999999999996</v>
      </c>
      <c r="F108" s="4">
        <f>CHOOSE( CONTROL!$C$32, 5.3582, 5.3529) * CHOOSE(CONTROL!$C$15, $D$11, 100%, $F$11)</f>
        <v>5.3582000000000001</v>
      </c>
      <c r="G108" s="8">
        <f>CHOOSE( CONTROL!$C$32, 4.2064, 4.2013) * CHOOSE( CONTROL!$C$15, $D$11, 100%, $F$11)</f>
        <v>4.2064000000000004</v>
      </c>
      <c r="H108" s="4">
        <f>CHOOSE( CONTROL!$C$32, 5.1468, 5.1417) * CHOOSE(CONTROL!$C$15, $D$11, 100%, $F$11)</f>
        <v>5.1467999999999998</v>
      </c>
      <c r="I108" s="8">
        <f>CHOOSE( CONTROL!$C$32, 4.2032, 4.1981) * CHOOSE(CONTROL!$C$15, $D$11, 100%, $F$11)</f>
        <v>4.2031999999999998</v>
      </c>
      <c r="J108" s="4">
        <f>CHOOSE( CONTROL!$C$32, 4.1373, 4.1323) * CHOOSE(CONTROL!$C$15, $D$11, 100%, $F$11)</f>
        <v>4.1372999999999998</v>
      </c>
      <c r="K108" s="4"/>
      <c r="L108" s="9">
        <v>29.520499999999998</v>
      </c>
      <c r="M108" s="9">
        <v>12.063700000000001</v>
      </c>
      <c r="N108" s="9">
        <v>4.9444999999999997</v>
      </c>
      <c r="O108" s="9">
        <v>0.37459999999999999</v>
      </c>
      <c r="P108" s="9">
        <v>1.2192000000000001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CONTROL!$C$32, 4.2324, 4.2272) * CHOOSE(CONTROL!$C$15, $D$11, 100%, $F$11)</f>
        <v>4.2324000000000002</v>
      </c>
      <c r="C109" s="8">
        <f>CHOOSE( CONTROL!$C$32, 4.2429, 4.2376) * CHOOSE(CONTROL!$C$15, $D$11, 100%, $F$11)</f>
        <v>4.2428999999999997</v>
      </c>
      <c r="D109" s="8">
        <f>CHOOSE( CONTROL!$C$32, 4.2539, 4.2487) * CHOOSE( CONTROL!$C$15, $D$11, 100%, $F$11)</f>
        <v>4.2538999999999998</v>
      </c>
      <c r="E109" s="12">
        <f>CHOOSE( CONTROL!$C$32, 4.2483, 4.2431) * CHOOSE( CONTROL!$C$15, $D$11, 100%, $F$11)</f>
        <v>4.2483000000000004</v>
      </c>
      <c r="F109" s="4">
        <f>CHOOSE( CONTROL!$C$32, 5.2679, 5.2626) * CHOOSE(CONTROL!$C$15, $D$11, 100%, $F$11)</f>
        <v>5.2679</v>
      </c>
      <c r="G109" s="8">
        <f>CHOOSE( CONTROL!$C$32, 4.1186, 4.1134) * CHOOSE( CONTROL!$C$15, $D$11, 100%, $F$11)</f>
        <v>4.1185999999999998</v>
      </c>
      <c r="H109" s="4">
        <f>CHOOSE( CONTROL!$C$32, 5.0587, 5.0536) * CHOOSE(CONTROL!$C$15, $D$11, 100%, $F$11)</f>
        <v>5.0587</v>
      </c>
      <c r="I109" s="8">
        <f>CHOOSE( CONTROL!$C$32, 4.1172, 4.1122) * CHOOSE(CONTROL!$C$15, $D$11, 100%, $F$11)</f>
        <v>4.1172000000000004</v>
      </c>
      <c r="J109" s="4">
        <f>CHOOSE( CONTROL!$C$32, 4.0508, 4.0457) * CHOOSE(CONTROL!$C$15, $D$11, 100%, $F$11)</f>
        <v>4.0507999999999997</v>
      </c>
      <c r="K109" s="4"/>
      <c r="L109" s="9">
        <v>28.568200000000001</v>
      </c>
      <c r="M109" s="9">
        <v>11.6745</v>
      </c>
      <c r="N109" s="9">
        <v>4.7850000000000001</v>
      </c>
      <c r="O109" s="9">
        <v>0.36249999999999999</v>
      </c>
      <c r="P109" s="9">
        <v>1.1798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4.4147 * CHOOSE(CONTROL!$C$15, $D$11, 100%, $F$11)</f>
        <v>4.4146999999999998</v>
      </c>
      <c r="C110" s="8">
        <f>4.4252 * CHOOSE(CONTROL!$C$15, $D$11, 100%, $F$11)</f>
        <v>4.4252000000000002</v>
      </c>
      <c r="D110" s="8">
        <f>4.4376 * CHOOSE( CONTROL!$C$15, $D$11, 100%, $F$11)</f>
        <v>4.4375999999999998</v>
      </c>
      <c r="E110" s="12">
        <f>4.4324 * CHOOSE( CONTROL!$C$15, $D$11, 100%, $F$11)</f>
        <v>4.4324000000000003</v>
      </c>
      <c r="F110" s="4">
        <f>5.4502 * CHOOSE(CONTROL!$C$15, $D$11, 100%, $F$11)</f>
        <v>5.4501999999999997</v>
      </c>
      <c r="G110" s="8">
        <f>4.2956 * CHOOSE( CONTROL!$C$15, $D$11, 100%, $F$11)</f>
        <v>4.2956000000000003</v>
      </c>
      <c r="H110" s="4">
        <f>5.2364 * CHOOSE(CONTROL!$C$15, $D$11, 100%, $F$11)</f>
        <v>5.2363999999999997</v>
      </c>
      <c r="I110" s="8">
        <f>4.2934 * CHOOSE(CONTROL!$C$15, $D$11, 100%, $F$11)</f>
        <v>4.2934000000000001</v>
      </c>
      <c r="J110" s="4">
        <f>4.2255 * CHOOSE(CONTROL!$C$15, $D$11, 100%, $F$11)</f>
        <v>4.2255000000000003</v>
      </c>
      <c r="K110" s="4"/>
      <c r="L110" s="9">
        <v>28.921800000000001</v>
      </c>
      <c r="M110" s="9">
        <v>12.063700000000001</v>
      </c>
      <c r="N110" s="9">
        <v>4.9444999999999997</v>
      </c>
      <c r="O110" s="9">
        <v>0.37459999999999999</v>
      </c>
      <c r="P110" s="9">
        <v>1.2192000000000001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4.761 * CHOOSE(CONTROL!$C$15, $D$11, 100%, $F$11)</f>
        <v>4.7610000000000001</v>
      </c>
      <c r="C111" s="8">
        <f>4.7714 * CHOOSE(CONTROL!$C$15, $D$11, 100%, $F$11)</f>
        <v>4.7713999999999999</v>
      </c>
      <c r="D111" s="8">
        <f>4.7551 * CHOOSE( CONTROL!$C$15, $D$11, 100%, $F$11)</f>
        <v>4.7550999999999997</v>
      </c>
      <c r="E111" s="12">
        <f>4.76 * CHOOSE( CONTROL!$C$15, $D$11, 100%, $F$11)</f>
        <v>4.76</v>
      </c>
      <c r="F111" s="4">
        <f>5.7552 * CHOOSE(CONTROL!$C$15, $D$11, 100%, $F$11)</f>
        <v>5.7552000000000003</v>
      </c>
      <c r="G111" s="8">
        <f>4.6541 * CHOOSE( CONTROL!$C$15, $D$11, 100%, $F$11)</f>
        <v>4.6540999999999997</v>
      </c>
      <c r="H111" s="4">
        <f>5.5337 * CHOOSE(CONTROL!$C$15, $D$11, 100%, $F$11)</f>
        <v>5.5336999999999996</v>
      </c>
      <c r="I111" s="8">
        <f>4.6622 * CHOOSE(CONTROL!$C$15, $D$11, 100%, $F$11)</f>
        <v>4.6622000000000003</v>
      </c>
      <c r="J111" s="4">
        <f>4.5572 * CHOOSE(CONTROL!$C$15, $D$11, 100%, $F$11)</f>
        <v>4.5571999999999999</v>
      </c>
      <c r="K111" s="4"/>
      <c r="L111" s="9">
        <v>26.515499999999999</v>
      </c>
      <c r="M111" s="9">
        <v>11.6745</v>
      </c>
      <c r="N111" s="9">
        <v>4.7850000000000001</v>
      </c>
      <c r="O111" s="9">
        <v>0.36249999999999999</v>
      </c>
      <c r="P111" s="9">
        <v>1.2522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4.7523 * CHOOSE(CONTROL!$C$15, $D$11, 100%, $F$11)</f>
        <v>4.7523</v>
      </c>
      <c r="C112" s="8">
        <f>4.7627 * CHOOSE(CONTROL!$C$15, $D$11, 100%, $F$11)</f>
        <v>4.7626999999999997</v>
      </c>
      <c r="D112" s="8">
        <f>4.7488 * CHOOSE( CONTROL!$C$15, $D$11, 100%, $F$11)</f>
        <v>4.7488000000000001</v>
      </c>
      <c r="E112" s="12">
        <f>4.7528 * CHOOSE( CONTROL!$C$15, $D$11, 100%, $F$11)</f>
        <v>4.7527999999999997</v>
      </c>
      <c r="F112" s="4">
        <f>5.7465 * CHOOSE(CONTROL!$C$15, $D$11, 100%, $F$11)</f>
        <v>5.7465000000000002</v>
      </c>
      <c r="G112" s="8">
        <f>4.6474 * CHOOSE( CONTROL!$C$15, $D$11, 100%, $F$11)</f>
        <v>4.6474000000000002</v>
      </c>
      <c r="H112" s="4">
        <f>5.5253 * CHOOSE(CONTROL!$C$15, $D$11, 100%, $F$11)</f>
        <v>5.5252999999999997</v>
      </c>
      <c r="I112" s="8">
        <f>4.6615 * CHOOSE(CONTROL!$C$15, $D$11, 100%, $F$11)</f>
        <v>4.6615000000000002</v>
      </c>
      <c r="J112" s="4">
        <f>4.5489 * CHOOSE(CONTROL!$C$15, $D$11, 100%, $F$11)</f>
        <v>4.5488999999999997</v>
      </c>
      <c r="K112" s="4"/>
      <c r="L112" s="9">
        <v>27.3993</v>
      </c>
      <c r="M112" s="9">
        <v>12.063700000000001</v>
      </c>
      <c r="N112" s="9">
        <v>4.9444999999999997</v>
      </c>
      <c r="O112" s="9">
        <v>0.37459999999999999</v>
      </c>
      <c r="P112" s="9">
        <v>1.2939000000000001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5.0705 * CHOOSE(CONTROL!$C$15, $D$11, 100%, $F$11)</f>
        <v>5.0705</v>
      </c>
      <c r="C113" s="8">
        <f>5.0809 * CHOOSE(CONTROL!$C$15, $D$11, 100%, $F$11)</f>
        <v>5.0808999999999997</v>
      </c>
      <c r="D113" s="8">
        <f>5.0802 * CHOOSE( CONTROL!$C$15, $D$11, 100%, $F$11)</f>
        <v>5.0801999999999996</v>
      </c>
      <c r="E113" s="12">
        <f>5.0793 * CHOOSE( CONTROL!$C$15, $D$11, 100%, $F$11)</f>
        <v>5.0792999999999999</v>
      </c>
      <c r="F113" s="4">
        <f>6.0934 * CHOOSE(CONTROL!$C$15, $D$11, 100%, $F$11)</f>
        <v>6.0933999999999999</v>
      </c>
      <c r="G113" s="8">
        <f>4.9711 * CHOOSE( CONTROL!$C$15, $D$11, 100%, $F$11)</f>
        <v>4.9710999999999999</v>
      </c>
      <c r="H113" s="4">
        <f>5.8634 * CHOOSE(CONTROL!$C$15, $D$11, 100%, $F$11)</f>
        <v>5.8634000000000004</v>
      </c>
      <c r="I113" s="8">
        <f>4.9648 * CHOOSE(CONTROL!$C$15, $D$11, 100%, $F$11)</f>
        <v>4.9648000000000003</v>
      </c>
      <c r="J113" s="4">
        <f>4.8538 * CHOOSE(CONTROL!$C$15, $D$11, 100%, $F$11)</f>
        <v>4.8537999999999997</v>
      </c>
      <c r="K113" s="4"/>
      <c r="L113" s="9">
        <v>27.3993</v>
      </c>
      <c r="M113" s="9">
        <v>12.063700000000001</v>
      </c>
      <c r="N113" s="9">
        <v>4.9444999999999997</v>
      </c>
      <c r="O113" s="9">
        <v>0.37459999999999999</v>
      </c>
      <c r="P113" s="9">
        <v>1.2939000000000001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4.743 * CHOOSE(CONTROL!$C$15, $D$11, 100%, $F$11)</f>
        <v>4.7430000000000003</v>
      </c>
      <c r="C114" s="8">
        <f>4.7534 * CHOOSE(CONTROL!$C$15, $D$11, 100%, $F$11)</f>
        <v>4.7534000000000001</v>
      </c>
      <c r="D114" s="8">
        <f>4.7549 * CHOOSE( CONTROL!$C$15, $D$11, 100%, $F$11)</f>
        <v>4.7549000000000001</v>
      </c>
      <c r="E114" s="12">
        <f>4.7532 * CHOOSE( CONTROL!$C$15, $D$11, 100%, $F$11)</f>
        <v>4.7531999999999996</v>
      </c>
      <c r="F114" s="4">
        <f>5.7581 * CHOOSE(CONTROL!$C$15, $D$11, 100%, $F$11)</f>
        <v>5.7580999999999998</v>
      </c>
      <c r="G114" s="8">
        <f>4.6517 * CHOOSE( CONTROL!$C$15, $D$11, 100%, $F$11)</f>
        <v>4.6516999999999999</v>
      </c>
      <c r="H114" s="4">
        <f>5.5366 * CHOOSE(CONTROL!$C$15, $D$11, 100%, $F$11)</f>
        <v>5.5366</v>
      </c>
      <c r="I114" s="8">
        <f>4.6399 * CHOOSE(CONTROL!$C$15, $D$11, 100%, $F$11)</f>
        <v>4.6398999999999999</v>
      </c>
      <c r="J114" s="4">
        <f>4.54 * CHOOSE(CONTROL!$C$15, $D$11, 100%, $F$11)</f>
        <v>4.54</v>
      </c>
      <c r="K114" s="4"/>
      <c r="L114" s="9">
        <v>25.631599999999999</v>
      </c>
      <c r="M114" s="9">
        <v>11.285299999999999</v>
      </c>
      <c r="N114" s="9">
        <v>4.6254999999999997</v>
      </c>
      <c r="O114" s="9">
        <v>0.35039999999999999</v>
      </c>
      <c r="P114" s="9">
        <v>1.2104999999999999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4.6421 * CHOOSE(CONTROL!$C$15, $D$11, 100%, $F$11)</f>
        <v>4.6421000000000001</v>
      </c>
      <c r="C115" s="8">
        <f>4.6526 * CHOOSE(CONTROL!$C$15, $D$11, 100%, $F$11)</f>
        <v>4.6525999999999996</v>
      </c>
      <c r="D115" s="8">
        <f>4.6336 * CHOOSE( CONTROL!$C$15, $D$11, 100%, $F$11)</f>
        <v>4.6336000000000004</v>
      </c>
      <c r="E115" s="12">
        <f>4.6394 * CHOOSE( CONTROL!$C$15, $D$11, 100%, $F$11)</f>
        <v>4.6394000000000002</v>
      </c>
      <c r="F115" s="4">
        <f>5.641 * CHOOSE(CONTROL!$C$15, $D$11, 100%, $F$11)</f>
        <v>5.641</v>
      </c>
      <c r="G115" s="8">
        <f>4.5326 * CHOOSE( CONTROL!$C$15, $D$11, 100%, $F$11)</f>
        <v>4.5326000000000004</v>
      </c>
      <c r="H115" s="4">
        <f>5.4225 * CHOOSE(CONTROL!$C$15, $D$11, 100%, $F$11)</f>
        <v>5.4225000000000003</v>
      </c>
      <c r="I115" s="8">
        <f>4.5037 * CHOOSE(CONTROL!$C$15, $D$11, 100%, $F$11)</f>
        <v>4.5037000000000003</v>
      </c>
      <c r="J115" s="4">
        <f>4.4433 * CHOOSE(CONTROL!$C$15, $D$11, 100%, $F$11)</f>
        <v>4.4432999999999998</v>
      </c>
      <c r="K115" s="4"/>
      <c r="L115" s="9">
        <v>27.3993</v>
      </c>
      <c r="M115" s="9">
        <v>12.063700000000001</v>
      </c>
      <c r="N115" s="9">
        <v>4.9444999999999997</v>
      </c>
      <c r="O115" s="9">
        <v>0.37459999999999999</v>
      </c>
      <c r="P115" s="9">
        <v>1.2939000000000001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4.7126 * CHOOSE(CONTROL!$C$15, $D$11, 100%, $F$11)</f>
        <v>4.7126000000000001</v>
      </c>
      <c r="C116" s="8">
        <f>4.723 * CHOOSE(CONTROL!$C$15, $D$11, 100%, $F$11)</f>
        <v>4.7229999999999999</v>
      </c>
      <c r="D116" s="8">
        <f>4.7271 * CHOOSE( CONTROL!$C$15, $D$11, 100%, $F$11)</f>
        <v>4.7271000000000001</v>
      </c>
      <c r="E116" s="12">
        <f>4.7246 * CHOOSE( CONTROL!$C$15, $D$11, 100%, $F$11)</f>
        <v>4.7245999999999997</v>
      </c>
      <c r="F116" s="4">
        <f>5.7199 * CHOOSE(CONTROL!$C$15, $D$11, 100%, $F$11)</f>
        <v>5.7199</v>
      </c>
      <c r="G116" s="8">
        <f>4.5897 * CHOOSE( CONTROL!$C$15, $D$11, 100%, $F$11)</f>
        <v>4.5896999999999997</v>
      </c>
      <c r="H116" s="4">
        <f>5.4993 * CHOOSE(CONTROL!$C$15, $D$11, 100%, $F$11)</f>
        <v>5.4992999999999999</v>
      </c>
      <c r="I116" s="8">
        <f>4.5614 * CHOOSE(CONTROL!$C$15, $D$11, 100%, $F$11)</f>
        <v>4.5613999999999999</v>
      </c>
      <c r="J116" s="4">
        <f>4.5109 * CHOOSE(CONTROL!$C$15, $D$11, 100%, $F$11)</f>
        <v>4.5109000000000004</v>
      </c>
      <c r="K116" s="4"/>
      <c r="L116" s="9">
        <v>27.988800000000001</v>
      </c>
      <c r="M116" s="9">
        <v>11.6745</v>
      </c>
      <c r="N116" s="9">
        <v>4.7850000000000001</v>
      </c>
      <c r="O116" s="9">
        <v>0.36249999999999999</v>
      </c>
      <c r="P116" s="9">
        <v>1.1798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CONTROL!$C$32, 4.8433, 4.838) * CHOOSE(CONTROL!$C$15, $D$11, 100%, $F$11)</f>
        <v>4.8433000000000002</v>
      </c>
      <c r="C117" s="8">
        <f>CHOOSE( CONTROL!$C$32, 4.8537, 4.8485) * CHOOSE(CONTROL!$C$15, $D$11, 100%, $F$11)</f>
        <v>4.8536999999999999</v>
      </c>
      <c r="D117" s="8">
        <f>CHOOSE( CONTROL!$C$32, 4.8666, 4.8613) * CHOOSE( CONTROL!$C$15, $D$11, 100%, $F$11)</f>
        <v>4.8666</v>
      </c>
      <c r="E117" s="12">
        <f>CHOOSE( CONTROL!$C$32, 4.8603, 4.8551) * CHOOSE( CONTROL!$C$15, $D$11, 100%, $F$11)</f>
        <v>4.8602999999999996</v>
      </c>
      <c r="F117" s="4">
        <f>CHOOSE( CONTROL!$C$32, 5.8662, 5.861) * CHOOSE(CONTROL!$C$15, $D$11, 100%, $F$11)</f>
        <v>5.8662000000000001</v>
      </c>
      <c r="G117" s="8">
        <f>CHOOSE( CONTROL!$C$32, 4.7227, 4.7176) * CHOOSE( CONTROL!$C$15, $D$11, 100%, $F$11)</f>
        <v>4.7226999999999997</v>
      </c>
      <c r="H117" s="4">
        <f>CHOOSE( CONTROL!$C$32, 5.642, 5.6368) * CHOOSE(CONTROL!$C$15, $D$11, 100%, $F$11)</f>
        <v>5.6420000000000003</v>
      </c>
      <c r="I117" s="8">
        <f>CHOOSE( CONTROL!$C$32, 4.692, 4.6869) * CHOOSE(CONTROL!$C$15, $D$11, 100%, $F$11)</f>
        <v>4.6920000000000002</v>
      </c>
      <c r="J117" s="4">
        <f>CHOOSE( CONTROL!$C$32, 4.6361, 4.6311) * CHOOSE(CONTROL!$C$15, $D$11, 100%, $F$11)</f>
        <v>4.6360999999999999</v>
      </c>
      <c r="K117" s="4"/>
      <c r="L117" s="9">
        <v>29.520499999999998</v>
      </c>
      <c r="M117" s="9">
        <v>12.063700000000001</v>
      </c>
      <c r="N117" s="9">
        <v>4.9444999999999997</v>
      </c>
      <c r="O117" s="9">
        <v>0.37459999999999999</v>
      </c>
      <c r="P117" s="9">
        <v>1.2192000000000001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CONTROL!$C$32, 4.7656, 4.7603) * CHOOSE(CONTROL!$C$15, $D$11, 100%, $F$11)</f>
        <v>4.7656000000000001</v>
      </c>
      <c r="C118" s="8">
        <f>CHOOSE( CONTROL!$C$32, 4.776, 4.7708) * CHOOSE(CONTROL!$C$15, $D$11, 100%, $F$11)</f>
        <v>4.7759999999999998</v>
      </c>
      <c r="D118" s="8">
        <f>CHOOSE( CONTROL!$C$32, 4.7965, 4.7912) * CHOOSE( CONTROL!$C$15, $D$11, 100%, $F$11)</f>
        <v>4.7965</v>
      </c>
      <c r="E118" s="12">
        <f>CHOOSE( CONTROL!$C$32, 4.7875, 4.7822) * CHOOSE( CONTROL!$C$15, $D$11, 100%, $F$11)</f>
        <v>4.7874999999999996</v>
      </c>
      <c r="F118" s="4">
        <f>CHOOSE( CONTROL!$C$32, 5.801, 5.7958) * CHOOSE(CONTROL!$C$15, $D$11, 100%, $F$11)</f>
        <v>5.8010000000000002</v>
      </c>
      <c r="G118" s="8">
        <f>CHOOSE( CONTROL!$C$32, 4.6508, 4.6457) * CHOOSE( CONTROL!$C$15, $D$11, 100%, $F$11)</f>
        <v>4.6508000000000003</v>
      </c>
      <c r="H118" s="4">
        <f>CHOOSE( CONTROL!$C$32, 5.5784, 5.5733) * CHOOSE(CONTROL!$C$15, $D$11, 100%, $F$11)</f>
        <v>5.5784000000000002</v>
      </c>
      <c r="I118" s="8">
        <f>CHOOSE( CONTROL!$C$32, 4.6227, 4.6177) * CHOOSE(CONTROL!$C$15, $D$11, 100%, $F$11)</f>
        <v>4.6227</v>
      </c>
      <c r="J118" s="4">
        <f>CHOOSE( CONTROL!$C$32, 4.5616, 4.5566) * CHOOSE(CONTROL!$C$15, $D$11, 100%, $F$11)</f>
        <v>4.5616000000000003</v>
      </c>
      <c r="K118" s="4"/>
      <c r="L118" s="9">
        <v>28.568200000000001</v>
      </c>
      <c r="M118" s="9">
        <v>11.6745</v>
      </c>
      <c r="N118" s="9">
        <v>4.7850000000000001</v>
      </c>
      <c r="O118" s="9">
        <v>0.36249999999999999</v>
      </c>
      <c r="P118" s="9">
        <v>1.1798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CONTROL!$C$32, 4.9702, 4.965) * CHOOSE(CONTROL!$C$15, $D$11, 100%, $F$11)</f>
        <v>4.9702000000000002</v>
      </c>
      <c r="C119" s="8">
        <f>CHOOSE( CONTROL!$C$32, 4.9807, 4.9754) * CHOOSE(CONTROL!$C$15, $D$11, 100%, $F$11)</f>
        <v>4.9806999999999997</v>
      </c>
      <c r="D119" s="8">
        <f>CHOOSE( CONTROL!$C$32, 4.9913, 4.986) * CHOOSE( CONTROL!$C$15, $D$11, 100%, $F$11)</f>
        <v>4.9912999999999998</v>
      </c>
      <c r="E119" s="12">
        <f>CHOOSE( CONTROL!$C$32, 4.9859, 4.9806) * CHOOSE( CONTROL!$C$15, $D$11, 100%, $F$11)</f>
        <v>4.9859</v>
      </c>
      <c r="F119" s="4">
        <f>CHOOSE( CONTROL!$C$32, 6.0057, 6.0004) * CHOOSE(CONTROL!$C$15, $D$11, 100%, $F$11)</f>
        <v>6.0057</v>
      </c>
      <c r="G119" s="8">
        <f>CHOOSE( CONTROL!$C$32, 4.837, 4.8319) * CHOOSE( CONTROL!$C$15, $D$11, 100%, $F$11)</f>
        <v>4.8369999999999997</v>
      </c>
      <c r="H119" s="4">
        <f>CHOOSE( CONTROL!$C$32, 5.7779, 5.7728) * CHOOSE(CONTROL!$C$15, $D$11, 100%, $F$11)</f>
        <v>5.7778999999999998</v>
      </c>
      <c r="I119" s="8">
        <f>CHOOSE( CONTROL!$C$32, 4.8222, 4.8172) * CHOOSE(CONTROL!$C$15, $D$11, 100%, $F$11)</f>
        <v>4.8221999999999996</v>
      </c>
      <c r="J119" s="4">
        <f>CHOOSE( CONTROL!$C$32, 4.7577, 4.7527) * CHOOSE(CONTROL!$C$15, $D$11, 100%, $F$11)</f>
        <v>4.7576999999999998</v>
      </c>
      <c r="K119" s="4"/>
      <c r="L119" s="9">
        <v>29.520499999999998</v>
      </c>
      <c r="M119" s="9">
        <v>12.063700000000001</v>
      </c>
      <c r="N119" s="9">
        <v>4.9444999999999997</v>
      </c>
      <c r="O119" s="9">
        <v>0.37459999999999999</v>
      </c>
      <c r="P119" s="9">
        <v>1.2192000000000001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CONTROL!$C$32, 4.5873, 4.5821) * CHOOSE(CONTROL!$C$15, $D$11, 100%, $F$11)</f>
        <v>4.5872999999999999</v>
      </c>
      <c r="C120" s="8">
        <f>CHOOSE( CONTROL!$C$32, 4.5978, 4.5925) * CHOOSE(CONTROL!$C$15, $D$11, 100%, $F$11)</f>
        <v>4.5978000000000003</v>
      </c>
      <c r="D120" s="8">
        <f>CHOOSE( CONTROL!$C$32, 4.6087, 4.6035) * CHOOSE( CONTROL!$C$15, $D$11, 100%, $F$11)</f>
        <v>4.6086999999999998</v>
      </c>
      <c r="E120" s="12">
        <f>CHOOSE( CONTROL!$C$32, 4.6031, 4.5979) * CHOOSE( CONTROL!$C$15, $D$11, 100%, $F$11)</f>
        <v>4.6031000000000004</v>
      </c>
      <c r="F120" s="4">
        <f>CHOOSE( CONTROL!$C$32, 5.6228, 5.6175) * CHOOSE(CONTROL!$C$15, $D$11, 100%, $F$11)</f>
        <v>5.6227999999999998</v>
      </c>
      <c r="G120" s="8">
        <f>CHOOSE( CONTROL!$C$32, 4.4643, 4.4592) * CHOOSE( CONTROL!$C$15, $D$11, 100%, $F$11)</f>
        <v>4.4642999999999997</v>
      </c>
      <c r="H120" s="4">
        <f>CHOOSE( CONTROL!$C$32, 5.4047, 5.3996) * CHOOSE(CONTROL!$C$15, $D$11, 100%, $F$11)</f>
        <v>5.4047000000000001</v>
      </c>
      <c r="I120" s="8">
        <f>CHOOSE( CONTROL!$C$32, 4.4568, 4.4518) * CHOOSE(CONTROL!$C$15, $D$11, 100%, $F$11)</f>
        <v>4.4568000000000003</v>
      </c>
      <c r="J120" s="4">
        <f>CHOOSE( CONTROL!$C$32, 4.3908, 4.3858) * CHOOSE(CONTROL!$C$15, $D$11, 100%, $F$11)</f>
        <v>4.3907999999999996</v>
      </c>
      <c r="K120" s="4"/>
      <c r="L120" s="9">
        <v>29.520499999999998</v>
      </c>
      <c r="M120" s="9">
        <v>12.063700000000001</v>
      </c>
      <c r="N120" s="9">
        <v>4.9444999999999997</v>
      </c>
      <c r="O120" s="9">
        <v>0.37459999999999999</v>
      </c>
      <c r="P120" s="9">
        <v>1.2192000000000001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CONTROL!$C$32, 4.4915, 4.4862) * CHOOSE(CONTROL!$C$15, $D$11, 100%, $F$11)</f>
        <v>4.4915000000000003</v>
      </c>
      <c r="C121" s="8">
        <f>CHOOSE( CONTROL!$C$32, 4.5019, 4.4967) * CHOOSE(CONTROL!$C$15, $D$11, 100%, $F$11)</f>
        <v>4.5019</v>
      </c>
      <c r="D121" s="8">
        <f>CHOOSE( CONTROL!$C$32, 4.513, 4.5077) * CHOOSE( CONTROL!$C$15, $D$11, 100%, $F$11)</f>
        <v>4.5129999999999999</v>
      </c>
      <c r="E121" s="12">
        <f>CHOOSE( CONTROL!$C$32, 4.5074, 4.5021) * CHOOSE( CONTROL!$C$15, $D$11, 100%, $F$11)</f>
        <v>4.5073999999999996</v>
      </c>
      <c r="F121" s="4">
        <f>CHOOSE( CONTROL!$C$32, 5.5269, 5.5216) * CHOOSE(CONTROL!$C$15, $D$11, 100%, $F$11)</f>
        <v>5.5269000000000004</v>
      </c>
      <c r="G121" s="8">
        <f>CHOOSE( CONTROL!$C$32, 4.3711, 4.3659) * CHOOSE( CONTROL!$C$15, $D$11, 100%, $F$11)</f>
        <v>4.3711000000000002</v>
      </c>
      <c r="H121" s="4">
        <f>CHOOSE( CONTROL!$C$32, 5.3112, 5.3061) * CHOOSE(CONTROL!$C$15, $D$11, 100%, $F$11)</f>
        <v>5.3112000000000004</v>
      </c>
      <c r="I121" s="8">
        <f>CHOOSE( CONTROL!$C$32, 4.3656, 4.3605) * CHOOSE(CONTROL!$C$15, $D$11, 100%, $F$11)</f>
        <v>4.3655999999999997</v>
      </c>
      <c r="J121" s="4">
        <f>CHOOSE( CONTROL!$C$32, 4.299, 4.2939) * CHOOSE(CONTROL!$C$15, $D$11, 100%, $F$11)</f>
        <v>4.2990000000000004</v>
      </c>
      <c r="K121" s="4"/>
      <c r="L121" s="9">
        <v>28.568200000000001</v>
      </c>
      <c r="M121" s="9">
        <v>11.6745</v>
      </c>
      <c r="N121" s="9">
        <v>4.7850000000000001</v>
      </c>
      <c r="O121" s="9">
        <v>0.36249999999999999</v>
      </c>
      <c r="P121" s="9">
        <v>1.1798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4.6853 * CHOOSE(CONTROL!$C$15, $D$11, 100%, $F$11)</f>
        <v>4.6852999999999998</v>
      </c>
      <c r="C122" s="8">
        <f>4.6957 * CHOOSE(CONTROL!$C$15, $D$11, 100%, $F$11)</f>
        <v>4.6957000000000004</v>
      </c>
      <c r="D122" s="8">
        <f>4.7081 * CHOOSE( CONTROL!$C$15, $D$11, 100%, $F$11)</f>
        <v>4.7081</v>
      </c>
      <c r="E122" s="12">
        <f>4.7029 * CHOOSE( CONTROL!$C$15, $D$11, 100%, $F$11)</f>
        <v>4.7028999999999996</v>
      </c>
      <c r="F122" s="4">
        <f>5.7207 * CHOOSE(CONTROL!$C$15, $D$11, 100%, $F$11)</f>
        <v>5.7206999999999999</v>
      </c>
      <c r="G122" s="8">
        <f>4.5594 * CHOOSE( CONTROL!$C$15, $D$11, 100%, $F$11)</f>
        <v>4.5594000000000001</v>
      </c>
      <c r="H122" s="4">
        <f>5.5002 * CHOOSE(CONTROL!$C$15, $D$11, 100%, $F$11)</f>
        <v>5.5002000000000004</v>
      </c>
      <c r="I122" s="8">
        <f>4.5528 * CHOOSE(CONTROL!$C$15, $D$11, 100%, $F$11)</f>
        <v>4.5528000000000004</v>
      </c>
      <c r="J122" s="4">
        <f>4.4847 * CHOOSE(CONTROL!$C$15, $D$11, 100%, $F$11)</f>
        <v>4.4847000000000001</v>
      </c>
      <c r="K122" s="4"/>
      <c r="L122" s="9">
        <v>28.921800000000001</v>
      </c>
      <c r="M122" s="9">
        <v>12.063700000000001</v>
      </c>
      <c r="N122" s="9">
        <v>4.9444999999999997</v>
      </c>
      <c r="O122" s="9">
        <v>0.37459999999999999</v>
      </c>
      <c r="P122" s="9">
        <v>1.2192000000000001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5.0527 * CHOOSE(CONTROL!$C$15, $D$11, 100%, $F$11)</f>
        <v>5.0526999999999997</v>
      </c>
      <c r="C123" s="8">
        <f>5.0632 * CHOOSE(CONTROL!$C$15, $D$11, 100%, $F$11)</f>
        <v>5.0632000000000001</v>
      </c>
      <c r="D123" s="8">
        <f>5.0469 * CHOOSE( CONTROL!$C$15, $D$11, 100%, $F$11)</f>
        <v>5.0468999999999999</v>
      </c>
      <c r="E123" s="12">
        <f>5.0517 * CHOOSE( CONTROL!$C$15, $D$11, 100%, $F$11)</f>
        <v>5.0517000000000003</v>
      </c>
      <c r="F123" s="4">
        <f>6.0469 * CHOOSE(CONTROL!$C$15, $D$11, 100%, $F$11)</f>
        <v>6.0468999999999999</v>
      </c>
      <c r="G123" s="8">
        <f>4.9385 * CHOOSE( CONTROL!$C$15, $D$11, 100%, $F$11)</f>
        <v>4.9385000000000003</v>
      </c>
      <c r="H123" s="4">
        <f>5.8181 * CHOOSE(CONTROL!$C$15, $D$11, 100%, $F$11)</f>
        <v>5.8181000000000003</v>
      </c>
      <c r="I123" s="8">
        <f>4.9419 * CHOOSE(CONTROL!$C$15, $D$11, 100%, $F$11)</f>
        <v>4.9419000000000004</v>
      </c>
      <c r="J123" s="4">
        <f>4.8368 * CHOOSE(CONTROL!$C$15, $D$11, 100%, $F$11)</f>
        <v>4.8368000000000002</v>
      </c>
      <c r="K123" s="4"/>
      <c r="L123" s="9">
        <v>26.515499999999999</v>
      </c>
      <c r="M123" s="9">
        <v>11.6745</v>
      </c>
      <c r="N123" s="9">
        <v>4.7850000000000001</v>
      </c>
      <c r="O123" s="9">
        <v>0.36249999999999999</v>
      </c>
      <c r="P123" s="9">
        <v>1.2522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5.0436 * CHOOSE(CONTROL!$C$15, $D$11, 100%, $F$11)</f>
        <v>5.0435999999999996</v>
      </c>
      <c r="C124" s="8">
        <f>5.054 * CHOOSE(CONTROL!$C$15, $D$11, 100%, $F$11)</f>
        <v>5.0540000000000003</v>
      </c>
      <c r="D124" s="8">
        <f>5.04 * CHOOSE( CONTROL!$C$15, $D$11, 100%, $F$11)</f>
        <v>5.04</v>
      </c>
      <c r="E124" s="12">
        <f>5.044 * CHOOSE( CONTROL!$C$15, $D$11, 100%, $F$11)</f>
        <v>5.0439999999999996</v>
      </c>
      <c r="F124" s="4">
        <f>6.0378 * CHOOSE(CONTROL!$C$15, $D$11, 100%, $F$11)</f>
        <v>6.0377999999999998</v>
      </c>
      <c r="G124" s="8">
        <f>4.9313 * CHOOSE( CONTROL!$C$15, $D$11, 100%, $F$11)</f>
        <v>4.9313000000000002</v>
      </c>
      <c r="H124" s="4">
        <f>5.8092 * CHOOSE(CONTROL!$C$15, $D$11, 100%, $F$11)</f>
        <v>5.8091999999999997</v>
      </c>
      <c r="I124" s="8">
        <f>4.9407 * CHOOSE(CONTROL!$C$15, $D$11, 100%, $F$11)</f>
        <v>4.9406999999999996</v>
      </c>
      <c r="J124" s="4">
        <f>4.828 * CHOOSE(CONTROL!$C$15, $D$11, 100%, $F$11)</f>
        <v>4.8280000000000003</v>
      </c>
      <c r="K124" s="4"/>
      <c r="L124" s="9">
        <v>27.3993</v>
      </c>
      <c r="M124" s="9">
        <v>12.063700000000001</v>
      </c>
      <c r="N124" s="9">
        <v>4.9444999999999997</v>
      </c>
      <c r="O124" s="9">
        <v>0.37459999999999999</v>
      </c>
      <c r="P124" s="9">
        <v>1.2939000000000001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5.306 * CHOOSE(CONTROL!$C$15, $D$11, 100%, $F$11)</f>
        <v>5.306</v>
      </c>
      <c r="C125" s="8">
        <f>5.3164 * CHOOSE(CONTROL!$C$15, $D$11, 100%, $F$11)</f>
        <v>5.3163999999999998</v>
      </c>
      <c r="D125" s="8">
        <f>5.3157 * CHOOSE( CONTROL!$C$15, $D$11, 100%, $F$11)</f>
        <v>5.3156999999999996</v>
      </c>
      <c r="E125" s="12">
        <f>5.3148 * CHOOSE( CONTROL!$C$15, $D$11, 100%, $F$11)</f>
        <v>5.3148</v>
      </c>
      <c r="F125" s="4">
        <f>6.3289 * CHOOSE(CONTROL!$C$15, $D$11, 100%, $F$11)</f>
        <v>6.3289</v>
      </c>
      <c r="G125" s="8">
        <f>5.2007 * CHOOSE( CONTROL!$C$15, $D$11, 100%, $F$11)</f>
        <v>5.2007000000000003</v>
      </c>
      <c r="H125" s="4">
        <f>6.093 * CHOOSE(CONTROL!$C$15, $D$11, 100%, $F$11)</f>
        <v>6.093</v>
      </c>
      <c r="I125" s="8">
        <f>5.1906 * CHOOSE(CONTROL!$C$15, $D$11, 100%, $F$11)</f>
        <v>5.1905999999999999</v>
      </c>
      <c r="J125" s="4">
        <f>5.0794 * CHOOSE(CONTROL!$C$15, $D$11, 100%, $F$11)</f>
        <v>5.0793999999999997</v>
      </c>
      <c r="K125" s="4"/>
      <c r="L125" s="9">
        <v>27.3993</v>
      </c>
      <c r="M125" s="9">
        <v>12.063700000000001</v>
      </c>
      <c r="N125" s="9">
        <v>4.9444999999999997</v>
      </c>
      <c r="O125" s="9">
        <v>0.37459999999999999</v>
      </c>
      <c r="P125" s="9">
        <v>1.2939000000000001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4.9633 * CHOOSE(CONTROL!$C$15, $D$11, 100%, $F$11)</f>
        <v>4.9633000000000003</v>
      </c>
      <c r="C126" s="8">
        <f>4.9737 * CHOOSE(CONTROL!$C$15, $D$11, 100%, $F$11)</f>
        <v>4.9737</v>
      </c>
      <c r="D126" s="8">
        <f>4.9752 * CHOOSE( CONTROL!$C$15, $D$11, 100%, $F$11)</f>
        <v>4.9752000000000001</v>
      </c>
      <c r="E126" s="12">
        <f>4.9735 * CHOOSE( CONTROL!$C$15, $D$11, 100%, $F$11)</f>
        <v>4.9734999999999996</v>
      </c>
      <c r="F126" s="4">
        <f>5.9784 * CHOOSE(CONTROL!$C$15, $D$11, 100%, $F$11)</f>
        <v>5.9783999999999997</v>
      </c>
      <c r="G126" s="8">
        <f>4.8664 * CHOOSE( CONTROL!$C$15, $D$11, 100%, $F$11)</f>
        <v>4.8663999999999996</v>
      </c>
      <c r="H126" s="4">
        <f>5.7513 * CHOOSE(CONTROL!$C$15, $D$11, 100%, $F$11)</f>
        <v>5.7512999999999996</v>
      </c>
      <c r="I126" s="8">
        <f>4.8511 * CHOOSE(CONTROL!$C$15, $D$11, 100%, $F$11)</f>
        <v>4.8510999999999997</v>
      </c>
      <c r="J126" s="4">
        <f>4.7511 * CHOOSE(CONTROL!$C$15, $D$11, 100%, $F$11)</f>
        <v>4.7511000000000001</v>
      </c>
      <c r="K126" s="4"/>
      <c r="L126" s="9">
        <v>24.747800000000002</v>
      </c>
      <c r="M126" s="9">
        <v>10.8962</v>
      </c>
      <c r="N126" s="9">
        <v>4.4660000000000002</v>
      </c>
      <c r="O126" s="9">
        <v>0.33829999999999999</v>
      </c>
      <c r="P126" s="9">
        <v>1.1687000000000001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4.8577 * CHOOSE(CONTROL!$C$15, $D$11, 100%, $F$11)</f>
        <v>4.8577000000000004</v>
      </c>
      <c r="C127" s="8">
        <f>4.8682 * CHOOSE(CONTROL!$C$15, $D$11, 100%, $F$11)</f>
        <v>4.8681999999999999</v>
      </c>
      <c r="D127" s="8">
        <f>4.8492 * CHOOSE( CONTROL!$C$15, $D$11, 100%, $F$11)</f>
        <v>4.8491999999999997</v>
      </c>
      <c r="E127" s="12">
        <f>4.855 * CHOOSE( CONTROL!$C$15, $D$11, 100%, $F$11)</f>
        <v>4.8550000000000004</v>
      </c>
      <c r="F127" s="4">
        <f>5.8566 * CHOOSE(CONTROL!$C$15, $D$11, 100%, $F$11)</f>
        <v>5.8566000000000003</v>
      </c>
      <c r="G127" s="8">
        <f>4.7428 * CHOOSE( CONTROL!$C$15, $D$11, 100%, $F$11)</f>
        <v>4.7427999999999999</v>
      </c>
      <c r="H127" s="4">
        <f>5.6326 * CHOOSE(CONTROL!$C$15, $D$11, 100%, $F$11)</f>
        <v>5.6326000000000001</v>
      </c>
      <c r="I127" s="8">
        <f>4.7104 * CHOOSE(CONTROL!$C$15, $D$11, 100%, $F$11)</f>
        <v>4.7103999999999999</v>
      </c>
      <c r="J127" s="4">
        <f>4.6499 * CHOOSE(CONTROL!$C$15, $D$11, 100%, $F$11)</f>
        <v>4.6498999999999997</v>
      </c>
      <c r="K127" s="4"/>
      <c r="L127" s="9">
        <v>27.3993</v>
      </c>
      <c r="M127" s="9">
        <v>12.063700000000001</v>
      </c>
      <c r="N127" s="9">
        <v>4.9444999999999997</v>
      </c>
      <c r="O127" s="9">
        <v>0.37459999999999999</v>
      </c>
      <c r="P127" s="9">
        <v>1.2939000000000001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4.9315 * CHOOSE(CONTROL!$C$15, $D$11, 100%, $F$11)</f>
        <v>4.9314999999999998</v>
      </c>
      <c r="C128" s="8">
        <f>4.9419 * CHOOSE(CONTROL!$C$15, $D$11, 100%, $F$11)</f>
        <v>4.9419000000000004</v>
      </c>
      <c r="D128" s="8">
        <f>4.9459 * CHOOSE( CONTROL!$C$15, $D$11, 100%, $F$11)</f>
        <v>4.9459</v>
      </c>
      <c r="E128" s="12">
        <f>4.9434 * CHOOSE( CONTROL!$C$15, $D$11, 100%, $F$11)</f>
        <v>4.9433999999999996</v>
      </c>
      <c r="F128" s="4">
        <f>5.9387 * CHOOSE(CONTROL!$C$15, $D$11, 100%, $F$11)</f>
        <v>5.9386999999999999</v>
      </c>
      <c r="G128" s="8">
        <f>4.8031 * CHOOSE( CONTROL!$C$15, $D$11, 100%, $F$11)</f>
        <v>4.8030999999999997</v>
      </c>
      <c r="H128" s="4">
        <f>5.7127 * CHOOSE(CONTROL!$C$15, $D$11, 100%, $F$11)</f>
        <v>5.7126999999999999</v>
      </c>
      <c r="I128" s="8">
        <f>4.7712 * CHOOSE(CONTROL!$C$15, $D$11, 100%, $F$11)</f>
        <v>4.7712000000000003</v>
      </c>
      <c r="J128" s="4">
        <f>4.7206 * CHOOSE(CONTROL!$C$15, $D$11, 100%, $F$11)</f>
        <v>4.7206000000000001</v>
      </c>
      <c r="K128" s="4"/>
      <c r="L128" s="9">
        <v>27.988800000000001</v>
      </c>
      <c r="M128" s="9">
        <v>11.6745</v>
      </c>
      <c r="N128" s="9">
        <v>4.7850000000000001</v>
      </c>
      <c r="O128" s="9">
        <v>0.36249999999999999</v>
      </c>
      <c r="P128" s="9">
        <v>1.1798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CONTROL!$C$32, 5.068, 5.0628) * CHOOSE(CONTROL!$C$15, $D$11, 100%, $F$11)</f>
        <v>5.0679999999999996</v>
      </c>
      <c r="C129" s="8">
        <f>CHOOSE( CONTROL!$C$32, 5.0784, 5.0732) * CHOOSE(CONTROL!$C$15, $D$11, 100%, $F$11)</f>
        <v>5.0784000000000002</v>
      </c>
      <c r="D129" s="8">
        <f>CHOOSE( CONTROL!$C$32, 5.0913, 5.086) * CHOOSE( CONTROL!$C$15, $D$11, 100%, $F$11)</f>
        <v>5.0913000000000004</v>
      </c>
      <c r="E129" s="12">
        <f>CHOOSE( CONTROL!$C$32, 5.085, 5.0798) * CHOOSE( CONTROL!$C$15, $D$11, 100%, $F$11)</f>
        <v>5.085</v>
      </c>
      <c r="F129" s="4">
        <f>CHOOSE( CONTROL!$C$32, 6.0909, 6.0857) * CHOOSE(CONTROL!$C$15, $D$11, 100%, $F$11)</f>
        <v>6.0909000000000004</v>
      </c>
      <c r="G129" s="8">
        <f>CHOOSE( CONTROL!$C$32, 4.9417, 4.9366) * CHOOSE( CONTROL!$C$15, $D$11, 100%, $F$11)</f>
        <v>4.9417</v>
      </c>
      <c r="H129" s="4">
        <f>CHOOSE( CONTROL!$C$32, 5.861, 5.8559) * CHOOSE(CONTROL!$C$15, $D$11, 100%, $F$11)</f>
        <v>5.8609999999999998</v>
      </c>
      <c r="I129" s="8">
        <f>CHOOSE( CONTROL!$C$32, 4.9074, 4.9023) * CHOOSE(CONTROL!$C$15, $D$11, 100%, $F$11)</f>
        <v>4.9074</v>
      </c>
      <c r="J129" s="4">
        <f>CHOOSE( CONTROL!$C$32, 4.8514, 4.8464) * CHOOSE(CONTROL!$C$15, $D$11, 100%, $F$11)</f>
        <v>4.8513999999999999</v>
      </c>
      <c r="K129" s="4"/>
      <c r="L129" s="9">
        <v>29.520499999999998</v>
      </c>
      <c r="M129" s="9">
        <v>12.063700000000001</v>
      </c>
      <c r="N129" s="9">
        <v>4.9444999999999997</v>
      </c>
      <c r="O129" s="9">
        <v>0.37459999999999999</v>
      </c>
      <c r="P129" s="9">
        <v>1.2192000000000001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CONTROL!$C$32, 4.9867, 4.9814) * CHOOSE(CONTROL!$C$15, $D$11, 100%, $F$11)</f>
        <v>4.9866999999999999</v>
      </c>
      <c r="C130" s="8">
        <f>CHOOSE( CONTROL!$C$32, 4.9971, 4.9919) * CHOOSE(CONTROL!$C$15, $D$11, 100%, $F$11)</f>
        <v>4.9970999999999997</v>
      </c>
      <c r="D130" s="8">
        <f>CHOOSE( CONTROL!$C$32, 5.0176, 5.0123) * CHOOSE( CONTROL!$C$15, $D$11, 100%, $F$11)</f>
        <v>5.0175999999999998</v>
      </c>
      <c r="E130" s="12">
        <f>CHOOSE( CONTROL!$C$32, 5.0086, 5.0033) * CHOOSE( CONTROL!$C$15, $D$11, 100%, $F$11)</f>
        <v>5.0086000000000004</v>
      </c>
      <c r="F130" s="4">
        <f>CHOOSE( CONTROL!$C$32, 6.0221, 6.0169) * CHOOSE(CONTROL!$C$15, $D$11, 100%, $F$11)</f>
        <v>6.0221</v>
      </c>
      <c r="G130" s="8">
        <f>CHOOSE( CONTROL!$C$32, 4.8663, 4.8612) * CHOOSE( CONTROL!$C$15, $D$11, 100%, $F$11)</f>
        <v>4.8662999999999998</v>
      </c>
      <c r="H130" s="4">
        <f>CHOOSE( CONTROL!$C$32, 5.794, 5.7888) * CHOOSE(CONTROL!$C$15, $D$11, 100%, $F$11)</f>
        <v>5.7939999999999996</v>
      </c>
      <c r="I130" s="8">
        <f>CHOOSE( CONTROL!$C$32, 4.8347, 4.8296) * CHOOSE(CONTROL!$C$15, $D$11, 100%, $F$11)</f>
        <v>4.8346999999999998</v>
      </c>
      <c r="J130" s="4">
        <f>CHOOSE( CONTROL!$C$32, 4.7735, 4.7685) * CHOOSE(CONTROL!$C$15, $D$11, 100%, $F$11)</f>
        <v>4.7735000000000003</v>
      </c>
      <c r="K130" s="4"/>
      <c r="L130" s="9">
        <v>28.568200000000001</v>
      </c>
      <c r="M130" s="9">
        <v>11.6745</v>
      </c>
      <c r="N130" s="9">
        <v>4.7850000000000001</v>
      </c>
      <c r="O130" s="9">
        <v>0.36249999999999999</v>
      </c>
      <c r="P130" s="9">
        <v>1.1798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CONTROL!$C$32, 5.2008, 5.1956) * CHOOSE(CONTROL!$C$15, $D$11, 100%, $F$11)</f>
        <v>5.2008000000000001</v>
      </c>
      <c r="C131" s="8">
        <f>CHOOSE( CONTROL!$C$32, 5.2113, 5.206) * CHOOSE(CONTROL!$C$15, $D$11, 100%, $F$11)</f>
        <v>5.2112999999999996</v>
      </c>
      <c r="D131" s="8">
        <f>CHOOSE( CONTROL!$C$32, 5.2219, 5.2166) * CHOOSE( CONTROL!$C$15, $D$11, 100%, $F$11)</f>
        <v>5.2218999999999998</v>
      </c>
      <c r="E131" s="12">
        <f>CHOOSE( CONTROL!$C$32, 5.2165, 5.2112) * CHOOSE( CONTROL!$C$15, $D$11, 100%, $F$11)</f>
        <v>5.2164999999999999</v>
      </c>
      <c r="F131" s="4">
        <f>CHOOSE( CONTROL!$C$32, 6.2363, 6.231) * CHOOSE(CONTROL!$C$15, $D$11, 100%, $F$11)</f>
        <v>6.2363</v>
      </c>
      <c r="G131" s="8">
        <f>CHOOSE( CONTROL!$C$32, 5.0618, 5.0567) * CHOOSE( CONTROL!$C$15, $D$11, 100%, $F$11)</f>
        <v>5.0617999999999999</v>
      </c>
      <c r="H131" s="4">
        <f>CHOOSE( CONTROL!$C$32, 6.0027, 5.9976) * CHOOSE(CONTROL!$C$15, $D$11, 100%, $F$11)</f>
        <v>6.0026999999999999</v>
      </c>
      <c r="I131" s="8">
        <f>CHOOSE( CONTROL!$C$32, 5.0433, 5.0383) * CHOOSE(CONTROL!$C$15, $D$11, 100%, $F$11)</f>
        <v>5.0433000000000003</v>
      </c>
      <c r="J131" s="4">
        <f>CHOOSE( CONTROL!$C$32, 4.9787, 4.9736) * CHOOSE(CONTROL!$C$15, $D$11, 100%, $F$11)</f>
        <v>4.9786999999999999</v>
      </c>
      <c r="K131" s="4"/>
      <c r="L131" s="9">
        <v>29.520499999999998</v>
      </c>
      <c r="M131" s="9">
        <v>12.063700000000001</v>
      </c>
      <c r="N131" s="9">
        <v>4.9444999999999997</v>
      </c>
      <c r="O131" s="9">
        <v>0.37459999999999999</v>
      </c>
      <c r="P131" s="9">
        <v>1.2192000000000001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CONTROL!$C$32, 4.8002, 4.7949) * CHOOSE(CONTROL!$C$15, $D$11, 100%, $F$11)</f>
        <v>4.8002000000000002</v>
      </c>
      <c r="C132" s="8">
        <f>CHOOSE( CONTROL!$C$32, 4.8106, 4.8053) * CHOOSE(CONTROL!$C$15, $D$11, 100%, $F$11)</f>
        <v>4.8106</v>
      </c>
      <c r="D132" s="8">
        <f>CHOOSE( CONTROL!$C$32, 4.8215, 4.8163) * CHOOSE( CONTROL!$C$15, $D$11, 100%, $F$11)</f>
        <v>4.8215000000000003</v>
      </c>
      <c r="E132" s="12">
        <f>CHOOSE( CONTROL!$C$32, 4.816, 4.8107) * CHOOSE( CONTROL!$C$15, $D$11, 100%, $F$11)</f>
        <v>4.8159999999999998</v>
      </c>
      <c r="F132" s="4">
        <f>CHOOSE( CONTROL!$C$32, 5.8356, 5.8303) * CHOOSE(CONTROL!$C$15, $D$11, 100%, $F$11)</f>
        <v>5.8356000000000003</v>
      </c>
      <c r="G132" s="8">
        <f>CHOOSE( CONTROL!$C$32, 4.6718, 4.6666) * CHOOSE( CONTROL!$C$15, $D$11, 100%, $F$11)</f>
        <v>4.6718000000000002</v>
      </c>
      <c r="H132" s="4">
        <f>CHOOSE( CONTROL!$C$32, 5.6121, 5.607) * CHOOSE(CONTROL!$C$15, $D$11, 100%, $F$11)</f>
        <v>5.6120999999999999</v>
      </c>
      <c r="I132" s="8">
        <f>CHOOSE( CONTROL!$C$32, 4.6608, 4.6558) * CHOOSE(CONTROL!$C$15, $D$11, 100%, $F$11)</f>
        <v>4.6608000000000001</v>
      </c>
      <c r="J132" s="4">
        <f>CHOOSE( CONTROL!$C$32, 4.5948, 4.5897) * CHOOSE(CONTROL!$C$15, $D$11, 100%, $F$11)</f>
        <v>4.5948000000000002</v>
      </c>
      <c r="K132" s="4"/>
      <c r="L132" s="9">
        <v>29.520499999999998</v>
      </c>
      <c r="M132" s="9">
        <v>12.063700000000001</v>
      </c>
      <c r="N132" s="9">
        <v>4.9444999999999997</v>
      </c>
      <c r="O132" s="9">
        <v>0.37459999999999999</v>
      </c>
      <c r="P132" s="9">
        <v>1.2192000000000001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CONTROL!$C$32, 4.6998, 4.6946) * CHOOSE(CONTROL!$C$15, $D$11, 100%, $F$11)</f>
        <v>4.6997999999999998</v>
      </c>
      <c r="C133" s="8">
        <f>CHOOSE( CONTROL!$C$32, 4.7103, 4.705) * CHOOSE(CONTROL!$C$15, $D$11, 100%, $F$11)</f>
        <v>4.7103000000000002</v>
      </c>
      <c r="D133" s="8">
        <f>CHOOSE( CONTROL!$C$32, 4.7213, 4.7161) * CHOOSE( CONTROL!$C$15, $D$11, 100%, $F$11)</f>
        <v>4.7213000000000003</v>
      </c>
      <c r="E133" s="12">
        <f>CHOOSE( CONTROL!$C$32, 4.7157, 4.7105) * CHOOSE( CONTROL!$C$15, $D$11, 100%, $F$11)</f>
        <v>4.7157</v>
      </c>
      <c r="F133" s="4">
        <f>CHOOSE( CONTROL!$C$32, 5.7353, 5.73) * CHOOSE(CONTROL!$C$15, $D$11, 100%, $F$11)</f>
        <v>5.7352999999999996</v>
      </c>
      <c r="G133" s="8">
        <f>CHOOSE( CONTROL!$C$32, 4.5742, 4.569) * CHOOSE( CONTROL!$C$15, $D$11, 100%, $F$11)</f>
        <v>4.5742000000000003</v>
      </c>
      <c r="H133" s="4">
        <f>CHOOSE( CONTROL!$C$32, 5.5143, 5.5092) * CHOOSE(CONTROL!$C$15, $D$11, 100%, $F$11)</f>
        <v>5.5143000000000004</v>
      </c>
      <c r="I133" s="8">
        <f>CHOOSE( CONTROL!$C$32, 4.5653, 4.5603) * CHOOSE(CONTROL!$C$15, $D$11, 100%, $F$11)</f>
        <v>4.5652999999999997</v>
      </c>
      <c r="J133" s="4">
        <f>CHOOSE( CONTROL!$C$32, 4.4986, 4.4936) * CHOOSE(CONTROL!$C$15, $D$11, 100%, $F$11)</f>
        <v>4.4985999999999997</v>
      </c>
      <c r="K133" s="4"/>
      <c r="L133" s="9">
        <v>28.568200000000001</v>
      </c>
      <c r="M133" s="9">
        <v>11.6745</v>
      </c>
      <c r="N133" s="9">
        <v>4.7850000000000001</v>
      </c>
      <c r="O133" s="9">
        <v>0.36249999999999999</v>
      </c>
      <c r="P133" s="9">
        <v>1.1798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4.9029 * CHOOSE(CONTROL!$C$15, $D$11, 100%, $F$11)</f>
        <v>4.9028999999999998</v>
      </c>
      <c r="C134" s="8">
        <f>4.9133 * CHOOSE(CONTROL!$C$15, $D$11, 100%, $F$11)</f>
        <v>4.9132999999999996</v>
      </c>
      <c r="D134" s="8">
        <f>4.9257 * CHOOSE( CONTROL!$C$15, $D$11, 100%, $F$11)</f>
        <v>4.9257</v>
      </c>
      <c r="E134" s="12">
        <f>4.9205 * CHOOSE( CONTROL!$C$15, $D$11, 100%, $F$11)</f>
        <v>4.9204999999999997</v>
      </c>
      <c r="F134" s="4">
        <f>5.9383 * CHOOSE(CONTROL!$C$15, $D$11, 100%, $F$11)</f>
        <v>5.9382999999999999</v>
      </c>
      <c r="G134" s="8">
        <f>4.7715 * CHOOSE( CONTROL!$C$15, $D$11, 100%, $F$11)</f>
        <v>4.7714999999999996</v>
      </c>
      <c r="H134" s="4">
        <f>5.7123 * CHOOSE(CONTROL!$C$15, $D$11, 100%, $F$11)</f>
        <v>5.7122999999999999</v>
      </c>
      <c r="I134" s="8">
        <f>4.7614 * CHOOSE(CONTROL!$C$15, $D$11, 100%, $F$11)</f>
        <v>4.7614000000000001</v>
      </c>
      <c r="J134" s="4">
        <f>4.6932 * CHOOSE(CONTROL!$C$15, $D$11, 100%, $F$11)</f>
        <v>4.6932</v>
      </c>
      <c r="K134" s="4"/>
      <c r="L134" s="9">
        <v>28.921800000000001</v>
      </c>
      <c r="M134" s="9">
        <v>12.063700000000001</v>
      </c>
      <c r="N134" s="9">
        <v>4.9444999999999997</v>
      </c>
      <c r="O134" s="9">
        <v>0.37459999999999999</v>
      </c>
      <c r="P134" s="9">
        <v>1.2192000000000001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5.2874 * CHOOSE(CONTROL!$C$15, $D$11, 100%, $F$11)</f>
        <v>5.2873999999999999</v>
      </c>
      <c r="C135" s="8">
        <f>5.2979 * CHOOSE(CONTROL!$C$15, $D$11, 100%, $F$11)</f>
        <v>5.2979000000000003</v>
      </c>
      <c r="D135" s="8">
        <f>5.2816 * CHOOSE( CONTROL!$C$15, $D$11, 100%, $F$11)</f>
        <v>5.2816000000000001</v>
      </c>
      <c r="E135" s="12">
        <f>5.2864 * CHOOSE( CONTROL!$C$15, $D$11, 100%, $F$11)</f>
        <v>5.2864000000000004</v>
      </c>
      <c r="F135" s="4">
        <f>6.2816 * CHOOSE(CONTROL!$C$15, $D$11, 100%, $F$11)</f>
        <v>6.2816000000000001</v>
      </c>
      <c r="G135" s="8">
        <f>5.1673 * CHOOSE( CONTROL!$C$15, $D$11, 100%, $F$11)</f>
        <v>5.1673</v>
      </c>
      <c r="H135" s="4">
        <f>6.0469 * CHOOSE(CONTROL!$C$15, $D$11, 100%, $F$11)</f>
        <v>6.0468999999999999</v>
      </c>
      <c r="I135" s="8">
        <f>5.1669 * CHOOSE(CONTROL!$C$15, $D$11, 100%, $F$11)</f>
        <v>5.1669</v>
      </c>
      <c r="J135" s="4">
        <f>5.0617 * CHOOSE(CONTROL!$C$15, $D$11, 100%, $F$11)</f>
        <v>5.0617000000000001</v>
      </c>
      <c r="K135" s="4"/>
      <c r="L135" s="9">
        <v>26.515499999999999</v>
      </c>
      <c r="M135" s="9">
        <v>11.6745</v>
      </c>
      <c r="N135" s="9">
        <v>4.7850000000000001</v>
      </c>
      <c r="O135" s="9">
        <v>0.36249999999999999</v>
      </c>
      <c r="P135" s="9">
        <v>1.2522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5.2778 * CHOOSE(CONTROL!$C$15, $D$11, 100%, $F$11)</f>
        <v>5.2778</v>
      </c>
      <c r="C136" s="8">
        <f>5.2883 * CHOOSE(CONTROL!$C$15, $D$11, 100%, $F$11)</f>
        <v>5.2882999999999996</v>
      </c>
      <c r="D136" s="8">
        <f>5.2743 * CHOOSE( CONTROL!$C$15, $D$11, 100%, $F$11)</f>
        <v>5.2743000000000002</v>
      </c>
      <c r="E136" s="12">
        <f>5.2783 * CHOOSE( CONTROL!$C$15, $D$11, 100%, $F$11)</f>
        <v>5.2782999999999998</v>
      </c>
      <c r="F136" s="4">
        <f>6.272 * CHOOSE(CONTROL!$C$15, $D$11, 100%, $F$11)</f>
        <v>6.2720000000000002</v>
      </c>
      <c r="G136" s="8">
        <f>5.1597 * CHOOSE( CONTROL!$C$15, $D$11, 100%, $F$11)</f>
        <v>5.1597</v>
      </c>
      <c r="H136" s="4">
        <f>6.0375 * CHOOSE(CONTROL!$C$15, $D$11, 100%, $F$11)</f>
        <v>6.0374999999999996</v>
      </c>
      <c r="I136" s="8">
        <f>5.1653 * CHOOSE(CONTROL!$C$15, $D$11, 100%, $F$11)</f>
        <v>5.1653000000000002</v>
      </c>
      <c r="J136" s="4">
        <f>5.0524 * CHOOSE(CONTROL!$C$15, $D$11, 100%, $F$11)</f>
        <v>5.0523999999999996</v>
      </c>
      <c r="K136" s="4"/>
      <c r="L136" s="9">
        <v>27.3993</v>
      </c>
      <c r="M136" s="9">
        <v>12.063700000000001</v>
      </c>
      <c r="N136" s="9">
        <v>4.9444999999999997</v>
      </c>
      <c r="O136" s="9">
        <v>0.37459999999999999</v>
      </c>
      <c r="P136" s="9">
        <v>1.2939000000000001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5.4804 * CHOOSE(CONTROL!$C$15, $D$11, 100%, $F$11)</f>
        <v>5.4804000000000004</v>
      </c>
      <c r="C137" s="8">
        <f>5.4909 * CHOOSE(CONTROL!$C$15, $D$11, 100%, $F$11)</f>
        <v>5.4908999999999999</v>
      </c>
      <c r="D137" s="8">
        <f>5.4902 * CHOOSE( CONTROL!$C$15, $D$11, 100%, $F$11)</f>
        <v>5.4901999999999997</v>
      </c>
      <c r="E137" s="12">
        <f>5.4893 * CHOOSE( CONTROL!$C$15, $D$11, 100%, $F$11)</f>
        <v>5.4893000000000001</v>
      </c>
      <c r="F137" s="4">
        <f>6.5034 * CHOOSE(CONTROL!$C$15, $D$11, 100%, $F$11)</f>
        <v>6.5034000000000001</v>
      </c>
      <c r="G137" s="8">
        <f>5.3707 * CHOOSE( CONTROL!$C$15, $D$11, 100%, $F$11)</f>
        <v>5.3707000000000003</v>
      </c>
      <c r="H137" s="4">
        <f>6.263 * CHOOSE(CONTROL!$C$15, $D$11, 100%, $F$11)</f>
        <v>6.2629999999999999</v>
      </c>
      <c r="I137" s="8">
        <f>5.3578 * CHOOSE(CONTROL!$C$15, $D$11, 100%, $F$11)</f>
        <v>5.3578000000000001</v>
      </c>
      <c r="J137" s="4">
        <f>5.2466 * CHOOSE(CONTROL!$C$15, $D$11, 100%, $F$11)</f>
        <v>5.2465999999999999</v>
      </c>
      <c r="K137" s="4"/>
      <c r="L137" s="9">
        <v>27.3993</v>
      </c>
      <c r="M137" s="9">
        <v>12.063700000000001</v>
      </c>
      <c r="N137" s="9">
        <v>4.9444999999999997</v>
      </c>
      <c r="O137" s="9">
        <v>0.37459999999999999</v>
      </c>
      <c r="P137" s="9">
        <v>1.2939000000000001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5.1265 * CHOOSE(CONTROL!$C$15, $D$11, 100%, $F$11)</f>
        <v>5.1265000000000001</v>
      </c>
      <c r="C138" s="8">
        <f>5.1369 * CHOOSE(CONTROL!$C$15, $D$11, 100%, $F$11)</f>
        <v>5.1368999999999998</v>
      </c>
      <c r="D138" s="8">
        <f>5.1384 * CHOOSE( CONTROL!$C$15, $D$11, 100%, $F$11)</f>
        <v>5.1383999999999999</v>
      </c>
      <c r="E138" s="12">
        <f>5.1367 * CHOOSE( CONTROL!$C$15, $D$11, 100%, $F$11)</f>
        <v>5.1367000000000003</v>
      </c>
      <c r="F138" s="4">
        <f>6.1415 * CHOOSE(CONTROL!$C$15, $D$11, 100%, $F$11)</f>
        <v>6.1414999999999997</v>
      </c>
      <c r="G138" s="8">
        <f>5.0255 * CHOOSE( CONTROL!$C$15, $D$11, 100%, $F$11)</f>
        <v>5.0255000000000001</v>
      </c>
      <c r="H138" s="4">
        <f>5.9104 * CHOOSE(CONTROL!$C$15, $D$11, 100%, $F$11)</f>
        <v>5.9104000000000001</v>
      </c>
      <c r="I138" s="8">
        <f>5.0075 * CHOOSE(CONTROL!$C$15, $D$11, 100%, $F$11)</f>
        <v>5.0075000000000003</v>
      </c>
      <c r="J138" s="4">
        <f>4.9074 * CHOOSE(CONTROL!$C$15, $D$11, 100%, $F$11)</f>
        <v>4.9074</v>
      </c>
      <c r="K138" s="4"/>
      <c r="L138" s="9">
        <v>24.747800000000002</v>
      </c>
      <c r="M138" s="9">
        <v>10.8962</v>
      </c>
      <c r="N138" s="9">
        <v>4.4660000000000002</v>
      </c>
      <c r="O138" s="9">
        <v>0.33829999999999999</v>
      </c>
      <c r="P138" s="9">
        <v>1.1687000000000001</v>
      </c>
      <c r="Q138" s="9">
        <v>28.9666</v>
      </c>
      <c r="R138" s="9"/>
      <c r="S138" s="11"/>
    </row>
    <row r="139" spans="1:19" ht="15.75">
      <c r="A139" s="13">
        <v>46082</v>
      </c>
      <c r="B139" s="8">
        <f>5.0174 * CHOOSE(CONTROL!$C$15, $D$11, 100%, $F$11)</f>
        <v>5.0174000000000003</v>
      </c>
      <c r="C139" s="8">
        <f>5.0279 * CHOOSE(CONTROL!$C$15, $D$11, 100%, $F$11)</f>
        <v>5.0278999999999998</v>
      </c>
      <c r="D139" s="8">
        <f>5.0089 * CHOOSE( CONTROL!$C$15, $D$11, 100%, $F$11)</f>
        <v>5.0088999999999997</v>
      </c>
      <c r="E139" s="12">
        <f>5.0147 * CHOOSE( CONTROL!$C$15, $D$11, 100%, $F$11)</f>
        <v>5.0147000000000004</v>
      </c>
      <c r="F139" s="4">
        <f>6.0163 * CHOOSE(CONTROL!$C$15, $D$11, 100%, $F$11)</f>
        <v>6.0163000000000002</v>
      </c>
      <c r="G139" s="8">
        <f>4.8985 * CHOOSE( CONTROL!$C$15, $D$11, 100%, $F$11)</f>
        <v>4.8985000000000003</v>
      </c>
      <c r="H139" s="4">
        <f>5.7883 * CHOOSE(CONTROL!$C$15, $D$11, 100%, $F$11)</f>
        <v>5.7882999999999996</v>
      </c>
      <c r="I139" s="8">
        <f>4.8635 * CHOOSE(CONTROL!$C$15, $D$11, 100%, $F$11)</f>
        <v>4.8635000000000002</v>
      </c>
      <c r="J139" s="4">
        <f>4.803 * CHOOSE(CONTROL!$C$15, $D$11, 100%, $F$11)</f>
        <v>4.8029999999999999</v>
      </c>
      <c r="K139" s="4"/>
      <c r="L139" s="9">
        <v>27.3993</v>
      </c>
      <c r="M139" s="9">
        <v>12.063700000000001</v>
      </c>
      <c r="N139" s="9">
        <v>4.9444999999999997</v>
      </c>
      <c r="O139" s="9">
        <v>0.37459999999999999</v>
      </c>
      <c r="P139" s="9">
        <v>1.2939000000000001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5.0936 * CHOOSE(CONTROL!$C$15, $D$11, 100%, $F$11)</f>
        <v>5.0936000000000003</v>
      </c>
      <c r="C140" s="8">
        <f>5.1041 * CHOOSE(CONTROL!$C$15, $D$11, 100%, $F$11)</f>
        <v>5.1040999999999999</v>
      </c>
      <c r="D140" s="8">
        <f>5.1081 * CHOOSE( CONTROL!$C$15, $D$11, 100%, $F$11)</f>
        <v>5.1081000000000003</v>
      </c>
      <c r="E140" s="12">
        <f>5.1056 * CHOOSE( CONTROL!$C$15, $D$11, 100%, $F$11)</f>
        <v>5.1055999999999999</v>
      </c>
      <c r="F140" s="4">
        <f>6.1009 * CHOOSE(CONTROL!$C$15, $D$11, 100%, $F$11)</f>
        <v>6.1009000000000002</v>
      </c>
      <c r="G140" s="8">
        <f>4.9611 * CHOOSE( CONTROL!$C$15, $D$11, 100%, $F$11)</f>
        <v>4.9611000000000001</v>
      </c>
      <c r="H140" s="4">
        <f>5.8707 * CHOOSE(CONTROL!$C$15, $D$11, 100%, $F$11)</f>
        <v>5.8707000000000003</v>
      </c>
      <c r="I140" s="8">
        <f>4.9266 * CHOOSE(CONTROL!$C$15, $D$11, 100%, $F$11)</f>
        <v>4.9265999999999996</v>
      </c>
      <c r="J140" s="4">
        <f>4.876 * CHOOSE(CONTROL!$C$15, $D$11, 100%, $F$11)</f>
        <v>4.8760000000000003</v>
      </c>
      <c r="K140" s="4"/>
      <c r="L140" s="9">
        <v>27.988800000000001</v>
      </c>
      <c r="M140" s="9">
        <v>11.6745</v>
      </c>
      <c r="N140" s="9">
        <v>4.7850000000000001</v>
      </c>
      <c r="O140" s="9">
        <v>0.36249999999999999</v>
      </c>
      <c r="P140" s="9">
        <v>1.1798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CONTROL!$C$32, 5.2345, 5.2292) * CHOOSE(CONTROL!$C$15, $D$11, 100%, $F$11)</f>
        <v>5.2344999999999997</v>
      </c>
      <c r="C141" s="8">
        <f>CHOOSE( CONTROL!$C$32, 5.2449, 5.2397) * CHOOSE(CONTROL!$C$15, $D$11, 100%, $F$11)</f>
        <v>5.2449000000000003</v>
      </c>
      <c r="D141" s="8">
        <f>CHOOSE( CONTROL!$C$32, 5.2577, 5.2525) * CHOOSE( CONTROL!$C$15, $D$11, 100%, $F$11)</f>
        <v>5.2576999999999998</v>
      </c>
      <c r="E141" s="12">
        <f>CHOOSE( CONTROL!$C$32, 5.2515, 5.2463) * CHOOSE( CONTROL!$C$15, $D$11, 100%, $F$11)</f>
        <v>5.2515000000000001</v>
      </c>
      <c r="F141" s="4">
        <f>CHOOSE( CONTROL!$C$32, 6.2574, 6.2521) * CHOOSE(CONTROL!$C$15, $D$11, 100%, $F$11)</f>
        <v>6.2573999999999996</v>
      </c>
      <c r="G141" s="8">
        <f>CHOOSE( CONTROL!$C$32, 5.104, 5.0989) * CHOOSE( CONTROL!$C$15, $D$11, 100%, $F$11)</f>
        <v>5.1040000000000001</v>
      </c>
      <c r="H141" s="4">
        <f>CHOOSE( CONTROL!$C$32, 6.0233, 6.0181) * CHOOSE(CONTROL!$C$15, $D$11, 100%, $F$11)</f>
        <v>6.0232999999999999</v>
      </c>
      <c r="I141" s="8">
        <f>CHOOSE( CONTROL!$C$32, 5.067, 5.0619) * CHOOSE(CONTROL!$C$15, $D$11, 100%, $F$11)</f>
        <v>5.0670000000000002</v>
      </c>
      <c r="J141" s="4">
        <f>CHOOSE( CONTROL!$C$32, 5.0109, 5.0059) * CHOOSE(CONTROL!$C$15, $D$11, 100%, $F$11)</f>
        <v>5.0109000000000004</v>
      </c>
      <c r="K141" s="4"/>
      <c r="L141" s="9">
        <v>29.520499999999998</v>
      </c>
      <c r="M141" s="9">
        <v>12.063700000000001</v>
      </c>
      <c r="N141" s="9">
        <v>4.9444999999999997</v>
      </c>
      <c r="O141" s="9">
        <v>0.37459999999999999</v>
      </c>
      <c r="P141" s="9">
        <v>1.2192000000000001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CONTROL!$C$32, 5.1505, 5.1452) * CHOOSE(CONTROL!$C$15, $D$11, 100%, $F$11)</f>
        <v>5.1505000000000001</v>
      </c>
      <c r="C142" s="8">
        <f>CHOOSE( CONTROL!$C$32, 5.1609, 5.1557) * CHOOSE(CONTROL!$C$15, $D$11, 100%, $F$11)</f>
        <v>5.1608999999999998</v>
      </c>
      <c r="D142" s="8">
        <f>CHOOSE( CONTROL!$C$32, 5.1813, 5.1761) * CHOOSE( CONTROL!$C$15, $D$11, 100%, $F$11)</f>
        <v>5.1813000000000002</v>
      </c>
      <c r="E142" s="12">
        <f>CHOOSE( CONTROL!$C$32, 5.1723, 5.1671) * CHOOSE( CONTROL!$C$15, $D$11, 100%, $F$11)</f>
        <v>5.1722999999999999</v>
      </c>
      <c r="F142" s="4">
        <f>CHOOSE( CONTROL!$C$32, 6.1859, 6.1807) * CHOOSE(CONTROL!$C$15, $D$11, 100%, $F$11)</f>
        <v>6.1859000000000002</v>
      </c>
      <c r="G142" s="8">
        <f>CHOOSE( CONTROL!$C$32, 5.026, 5.0209) * CHOOSE( CONTROL!$C$15, $D$11, 100%, $F$11)</f>
        <v>5.0259999999999998</v>
      </c>
      <c r="H142" s="4">
        <f>CHOOSE( CONTROL!$C$32, 5.9536, 5.9485) * CHOOSE(CONTROL!$C$15, $D$11, 100%, $F$11)</f>
        <v>5.9535999999999998</v>
      </c>
      <c r="I142" s="8">
        <f>CHOOSE( CONTROL!$C$32, 4.9917, 4.9866) * CHOOSE(CONTROL!$C$15, $D$11, 100%, $F$11)</f>
        <v>4.9916999999999998</v>
      </c>
      <c r="J142" s="4">
        <f>CHOOSE( CONTROL!$C$32, 4.9304, 4.9254) * CHOOSE(CONTROL!$C$15, $D$11, 100%, $F$11)</f>
        <v>4.9303999999999997</v>
      </c>
      <c r="K142" s="4"/>
      <c r="L142" s="9">
        <v>28.568200000000001</v>
      </c>
      <c r="M142" s="9">
        <v>11.6745</v>
      </c>
      <c r="N142" s="9">
        <v>4.7850000000000001</v>
      </c>
      <c r="O142" s="9">
        <v>0.36249999999999999</v>
      </c>
      <c r="P142" s="9">
        <v>1.1798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CONTROL!$C$32, 5.3717, 5.3664) * CHOOSE(CONTROL!$C$15, $D$11, 100%, $F$11)</f>
        <v>5.3716999999999997</v>
      </c>
      <c r="C143" s="8">
        <f>CHOOSE( CONTROL!$C$32, 5.3821, 5.3768) * CHOOSE(CONTROL!$C$15, $D$11, 100%, $F$11)</f>
        <v>5.3821000000000003</v>
      </c>
      <c r="D143" s="8">
        <f>CHOOSE( CONTROL!$C$32, 5.3927, 5.3874) * CHOOSE( CONTROL!$C$15, $D$11, 100%, $F$11)</f>
        <v>5.3926999999999996</v>
      </c>
      <c r="E143" s="12">
        <f>CHOOSE( CONTROL!$C$32, 5.3873, 5.382) * CHOOSE( CONTROL!$C$15, $D$11, 100%, $F$11)</f>
        <v>5.3872999999999998</v>
      </c>
      <c r="F143" s="4">
        <f>CHOOSE( CONTROL!$C$32, 6.4071, 6.4018) * CHOOSE(CONTROL!$C$15, $D$11, 100%, $F$11)</f>
        <v>6.4070999999999998</v>
      </c>
      <c r="G143" s="8">
        <f>CHOOSE( CONTROL!$C$32, 5.2284, 5.2232) * CHOOSE( CONTROL!$C$15, $D$11, 100%, $F$11)</f>
        <v>5.2283999999999997</v>
      </c>
      <c r="H143" s="4">
        <f>CHOOSE( CONTROL!$C$32, 6.1692, 6.1641) * CHOOSE(CONTROL!$C$15, $D$11, 100%, $F$11)</f>
        <v>6.1692</v>
      </c>
      <c r="I143" s="8">
        <f>CHOOSE( CONTROL!$C$32, 5.2071, 5.2021) * CHOOSE(CONTROL!$C$15, $D$11, 100%, $F$11)</f>
        <v>5.2070999999999996</v>
      </c>
      <c r="J143" s="4">
        <f>CHOOSE( CONTROL!$C$32, 5.1424, 5.1373) * CHOOSE(CONTROL!$C$15, $D$11, 100%, $F$11)</f>
        <v>5.1424000000000003</v>
      </c>
      <c r="K143" s="4"/>
      <c r="L143" s="9">
        <v>29.520499999999998</v>
      </c>
      <c r="M143" s="9">
        <v>12.063700000000001</v>
      </c>
      <c r="N143" s="9">
        <v>4.9444999999999997</v>
      </c>
      <c r="O143" s="9">
        <v>0.37459999999999999</v>
      </c>
      <c r="P143" s="9">
        <v>1.2192000000000001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CONTROL!$C$32, 4.9578, 4.9525) * CHOOSE(CONTROL!$C$15, $D$11, 100%, $F$11)</f>
        <v>4.9577999999999998</v>
      </c>
      <c r="C144" s="8">
        <f>CHOOSE( CONTROL!$C$32, 4.9682, 4.963) * CHOOSE(CONTROL!$C$15, $D$11, 100%, $F$11)</f>
        <v>4.9682000000000004</v>
      </c>
      <c r="D144" s="8">
        <f>CHOOSE( CONTROL!$C$32, 4.9792, 4.9739) * CHOOSE( CONTROL!$C$15, $D$11, 100%, $F$11)</f>
        <v>4.9791999999999996</v>
      </c>
      <c r="E144" s="12">
        <f>CHOOSE( CONTROL!$C$32, 4.9736, 4.9683) * CHOOSE( CONTROL!$C$15, $D$11, 100%, $F$11)</f>
        <v>4.9736000000000002</v>
      </c>
      <c r="F144" s="4">
        <f>CHOOSE( CONTROL!$C$32, 5.9932, 5.988) * CHOOSE(CONTROL!$C$15, $D$11, 100%, $F$11)</f>
        <v>5.9931999999999999</v>
      </c>
      <c r="G144" s="8">
        <f>CHOOSE( CONTROL!$C$32, 4.8254, 4.8203) * CHOOSE( CONTROL!$C$15, $D$11, 100%, $F$11)</f>
        <v>4.8254000000000001</v>
      </c>
      <c r="H144" s="4">
        <f>CHOOSE( CONTROL!$C$32, 5.7658, 5.7607) * CHOOSE(CONTROL!$C$15, $D$11, 100%, $F$11)</f>
        <v>5.7657999999999996</v>
      </c>
      <c r="I144" s="8">
        <f>CHOOSE( CONTROL!$C$32, 4.8119, 4.8069) * CHOOSE(CONTROL!$C$15, $D$11, 100%, $F$11)</f>
        <v>4.8118999999999996</v>
      </c>
      <c r="J144" s="4">
        <f>CHOOSE( CONTROL!$C$32, 4.7458, 4.7408) * CHOOSE(CONTROL!$C$15, $D$11, 100%, $F$11)</f>
        <v>4.7458</v>
      </c>
      <c r="K144" s="4"/>
      <c r="L144" s="9">
        <v>29.520499999999998</v>
      </c>
      <c r="M144" s="9">
        <v>12.063700000000001</v>
      </c>
      <c r="N144" s="9">
        <v>4.9444999999999997</v>
      </c>
      <c r="O144" s="9">
        <v>0.37459999999999999</v>
      </c>
      <c r="P144" s="9">
        <v>1.2192000000000001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CONTROL!$C$32, 4.8542, 4.8489) * CHOOSE(CONTROL!$C$15, $D$11, 100%, $F$11)</f>
        <v>4.8541999999999996</v>
      </c>
      <c r="C145" s="8">
        <f>CHOOSE( CONTROL!$C$32, 4.8646, 4.8593) * CHOOSE(CONTROL!$C$15, $D$11, 100%, $F$11)</f>
        <v>4.8646000000000003</v>
      </c>
      <c r="D145" s="8">
        <f>CHOOSE( CONTROL!$C$32, 4.8757, 4.8704) * CHOOSE( CONTROL!$C$15, $D$11, 100%, $F$11)</f>
        <v>4.8757000000000001</v>
      </c>
      <c r="E145" s="12">
        <f>CHOOSE( CONTROL!$C$32, 4.8701, 4.8648) * CHOOSE( CONTROL!$C$15, $D$11, 100%, $F$11)</f>
        <v>4.8700999999999999</v>
      </c>
      <c r="F145" s="4">
        <f>CHOOSE( CONTROL!$C$32, 5.8896, 5.8843) * CHOOSE(CONTROL!$C$15, $D$11, 100%, $F$11)</f>
        <v>5.8895999999999997</v>
      </c>
      <c r="G145" s="8">
        <f>CHOOSE( CONTROL!$C$32, 4.7246, 4.7195) * CHOOSE( CONTROL!$C$15, $D$11, 100%, $F$11)</f>
        <v>4.7245999999999997</v>
      </c>
      <c r="H145" s="4">
        <f>CHOOSE( CONTROL!$C$32, 5.6648, 5.6596) * CHOOSE(CONTROL!$C$15, $D$11, 100%, $F$11)</f>
        <v>5.6647999999999996</v>
      </c>
      <c r="I145" s="8">
        <f>CHOOSE( CONTROL!$C$32, 4.7133, 4.7082) * CHOOSE(CONTROL!$C$15, $D$11, 100%, $F$11)</f>
        <v>4.7133000000000003</v>
      </c>
      <c r="J145" s="4">
        <f>CHOOSE( CONTROL!$C$32, 4.6465, 4.6415) * CHOOSE(CONTROL!$C$15, $D$11, 100%, $F$11)</f>
        <v>4.6464999999999996</v>
      </c>
      <c r="K145" s="4"/>
      <c r="L145" s="9">
        <v>28.568200000000001</v>
      </c>
      <c r="M145" s="9">
        <v>11.6745</v>
      </c>
      <c r="N145" s="9">
        <v>4.7850000000000001</v>
      </c>
      <c r="O145" s="9">
        <v>0.36249999999999999</v>
      </c>
      <c r="P145" s="9">
        <v>1.1798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5.0641 * CHOOSE(CONTROL!$C$15, $D$11, 100%, $F$11)</f>
        <v>5.0640999999999998</v>
      </c>
      <c r="C146" s="8">
        <f>5.0745 * CHOOSE(CONTROL!$C$15, $D$11, 100%, $F$11)</f>
        <v>5.0744999999999996</v>
      </c>
      <c r="D146" s="8">
        <f>5.0869 * CHOOSE( CONTROL!$C$15, $D$11, 100%, $F$11)</f>
        <v>5.0869</v>
      </c>
      <c r="E146" s="12">
        <f>5.0817 * CHOOSE( CONTROL!$C$15, $D$11, 100%, $F$11)</f>
        <v>5.0816999999999997</v>
      </c>
      <c r="F146" s="4">
        <f>6.0995 * CHOOSE(CONTROL!$C$15, $D$11, 100%, $F$11)</f>
        <v>6.0994999999999999</v>
      </c>
      <c r="G146" s="8">
        <f>4.9286 * CHOOSE( CONTROL!$C$15, $D$11, 100%, $F$11)</f>
        <v>4.9286000000000003</v>
      </c>
      <c r="H146" s="4">
        <f>5.8694 * CHOOSE(CONTROL!$C$15, $D$11, 100%, $F$11)</f>
        <v>5.8693999999999997</v>
      </c>
      <c r="I146" s="8">
        <f>4.916 * CHOOSE(CONTROL!$C$15, $D$11, 100%, $F$11)</f>
        <v>4.9160000000000004</v>
      </c>
      <c r="J146" s="4">
        <f>4.8477 * CHOOSE(CONTROL!$C$15, $D$11, 100%, $F$11)</f>
        <v>4.8476999999999997</v>
      </c>
      <c r="K146" s="4"/>
      <c r="L146" s="9">
        <v>28.921800000000001</v>
      </c>
      <c r="M146" s="9">
        <v>12.063700000000001</v>
      </c>
      <c r="N146" s="9">
        <v>4.9444999999999997</v>
      </c>
      <c r="O146" s="9">
        <v>0.37459999999999999</v>
      </c>
      <c r="P146" s="9">
        <v>1.2192000000000001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5.4613 * CHOOSE(CONTROL!$C$15, $D$11, 100%, $F$11)</f>
        <v>5.4612999999999996</v>
      </c>
      <c r="C147" s="8">
        <f>5.4717 * CHOOSE(CONTROL!$C$15, $D$11, 100%, $F$11)</f>
        <v>5.4717000000000002</v>
      </c>
      <c r="D147" s="8">
        <f>5.4555 * CHOOSE( CONTROL!$C$15, $D$11, 100%, $F$11)</f>
        <v>5.4554999999999998</v>
      </c>
      <c r="E147" s="12">
        <f>5.4603 * CHOOSE( CONTROL!$C$15, $D$11, 100%, $F$11)</f>
        <v>5.4603000000000002</v>
      </c>
      <c r="F147" s="4">
        <f>6.4555 * CHOOSE(CONTROL!$C$15, $D$11, 100%, $F$11)</f>
        <v>6.4554999999999998</v>
      </c>
      <c r="G147" s="8">
        <f>5.3368 * CHOOSE( CONTROL!$C$15, $D$11, 100%, $F$11)</f>
        <v>5.3368000000000002</v>
      </c>
      <c r="H147" s="4">
        <f>6.2164 * CHOOSE(CONTROL!$C$15, $D$11, 100%, $F$11)</f>
        <v>6.2164000000000001</v>
      </c>
      <c r="I147" s="8">
        <f>5.3336 * CHOOSE(CONTROL!$C$15, $D$11, 100%, $F$11)</f>
        <v>5.3335999999999997</v>
      </c>
      <c r="J147" s="4">
        <f>5.2282 * CHOOSE(CONTROL!$C$15, $D$11, 100%, $F$11)</f>
        <v>5.2282000000000002</v>
      </c>
      <c r="K147" s="4"/>
      <c r="L147" s="9">
        <v>26.515499999999999</v>
      </c>
      <c r="M147" s="9">
        <v>11.6745</v>
      </c>
      <c r="N147" s="9">
        <v>4.7850000000000001</v>
      </c>
      <c r="O147" s="9">
        <v>0.36249999999999999</v>
      </c>
      <c r="P147" s="9">
        <v>1.2522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5.4514 * CHOOSE(CONTROL!$C$15, $D$11, 100%, $F$11)</f>
        <v>5.4513999999999996</v>
      </c>
      <c r="C148" s="8">
        <f>5.4618 * CHOOSE(CONTROL!$C$15, $D$11, 100%, $F$11)</f>
        <v>5.4618000000000002</v>
      </c>
      <c r="D148" s="8">
        <f>5.4478 * CHOOSE( CONTROL!$C$15, $D$11, 100%, $F$11)</f>
        <v>5.4478</v>
      </c>
      <c r="E148" s="12">
        <f>5.4518 * CHOOSE( CONTROL!$C$15, $D$11, 100%, $F$11)</f>
        <v>5.4518000000000004</v>
      </c>
      <c r="F148" s="4">
        <f>6.4456 * CHOOSE(CONTROL!$C$15, $D$11, 100%, $F$11)</f>
        <v>6.4455999999999998</v>
      </c>
      <c r="G148" s="8">
        <f>5.3288 * CHOOSE( CONTROL!$C$15, $D$11, 100%, $F$11)</f>
        <v>5.3288000000000002</v>
      </c>
      <c r="H148" s="4">
        <f>6.2067 * CHOOSE(CONTROL!$C$15, $D$11, 100%, $F$11)</f>
        <v>6.2066999999999997</v>
      </c>
      <c r="I148" s="8">
        <f>5.3316 * CHOOSE(CONTROL!$C$15, $D$11, 100%, $F$11)</f>
        <v>5.3315999999999999</v>
      </c>
      <c r="J148" s="4">
        <f>5.2187 * CHOOSE(CONTROL!$C$15, $D$11, 100%, $F$11)</f>
        <v>5.2187000000000001</v>
      </c>
      <c r="K148" s="4"/>
      <c r="L148" s="9">
        <v>27.3993</v>
      </c>
      <c r="M148" s="9">
        <v>12.063700000000001</v>
      </c>
      <c r="N148" s="9">
        <v>4.9444999999999997</v>
      </c>
      <c r="O148" s="9">
        <v>0.37459999999999999</v>
      </c>
      <c r="P148" s="9">
        <v>1.2939000000000001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5.6598 * CHOOSE(CONTROL!$C$15, $D$11, 100%, $F$11)</f>
        <v>5.6597999999999997</v>
      </c>
      <c r="C149" s="8">
        <f>5.6702 * CHOOSE(CONTROL!$C$15, $D$11, 100%, $F$11)</f>
        <v>5.6702000000000004</v>
      </c>
      <c r="D149" s="8">
        <f>5.6695 * CHOOSE( CONTROL!$C$15, $D$11, 100%, $F$11)</f>
        <v>5.6695000000000002</v>
      </c>
      <c r="E149" s="12">
        <f>5.6686 * CHOOSE( CONTROL!$C$15, $D$11, 100%, $F$11)</f>
        <v>5.6685999999999996</v>
      </c>
      <c r="F149" s="4">
        <f>6.6827 * CHOOSE(CONTROL!$C$15, $D$11, 100%, $F$11)</f>
        <v>6.6826999999999996</v>
      </c>
      <c r="G149" s="8">
        <f>5.5455 * CHOOSE( CONTROL!$C$15, $D$11, 100%, $F$11)</f>
        <v>5.5454999999999997</v>
      </c>
      <c r="H149" s="4">
        <f>6.4378 * CHOOSE(CONTROL!$C$15, $D$11, 100%, $F$11)</f>
        <v>6.4378000000000002</v>
      </c>
      <c r="I149" s="8">
        <f>5.5297 * CHOOSE(CONTROL!$C$15, $D$11, 100%, $F$11)</f>
        <v>5.5297000000000001</v>
      </c>
      <c r="J149" s="4">
        <f>5.4184 * CHOOSE(CONTROL!$C$15, $D$11, 100%, $F$11)</f>
        <v>5.4184000000000001</v>
      </c>
      <c r="K149" s="4"/>
      <c r="L149" s="9">
        <v>27.3993</v>
      </c>
      <c r="M149" s="9">
        <v>12.063700000000001</v>
      </c>
      <c r="N149" s="9">
        <v>4.9444999999999997</v>
      </c>
      <c r="O149" s="9">
        <v>0.37459999999999999</v>
      </c>
      <c r="P149" s="9">
        <v>1.2939000000000001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5.2942 * CHOOSE(CONTROL!$C$15, $D$11, 100%, $F$11)</f>
        <v>5.2942</v>
      </c>
      <c r="C150" s="8">
        <f>5.3046 * CHOOSE(CONTROL!$C$15, $D$11, 100%, $F$11)</f>
        <v>5.3045999999999998</v>
      </c>
      <c r="D150" s="8">
        <f>5.3061 * CHOOSE( CONTROL!$C$15, $D$11, 100%, $F$11)</f>
        <v>5.3060999999999998</v>
      </c>
      <c r="E150" s="12">
        <f>5.3044 * CHOOSE( CONTROL!$C$15, $D$11, 100%, $F$11)</f>
        <v>5.3044000000000002</v>
      </c>
      <c r="F150" s="4">
        <f>6.3093 * CHOOSE(CONTROL!$C$15, $D$11, 100%, $F$11)</f>
        <v>6.3093000000000004</v>
      </c>
      <c r="G150" s="8">
        <f>5.189 * CHOOSE( CONTROL!$C$15, $D$11, 100%, $F$11)</f>
        <v>5.1890000000000001</v>
      </c>
      <c r="H150" s="4">
        <f>6.0739 * CHOOSE(CONTROL!$C$15, $D$11, 100%, $F$11)</f>
        <v>6.0739000000000001</v>
      </c>
      <c r="I150" s="8">
        <f>5.1683 * CHOOSE(CONTROL!$C$15, $D$11, 100%, $F$11)</f>
        <v>5.1683000000000003</v>
      </c>
      <c r="J150" s="4">
        <f>5.0681 * CHOOSE(CONTROL!$C$15, $D$11, 100%, $F$11)</f>
        <v>5.0681000000000003</v>
      </c>
      <c r="K150" s="4"/>
      <c r="L150" s="9">
        <v>24.747800000000002</v>
      </c>
      <c r="M150" s="9">
        <v>10.8962</v>
      </c>
      <c r="N150" s="9">
        <v>4.4660000000000002</v>
      </c>
      <c r="O150" s="9">
        <v>0.33829999999999999</v>
      </c>
      <c r="P150" s="9">
        <v>1.1687000000000001</v>
      </c>
      <c r="Q150" s="9">
        <v>28.8002</v>
      </c>
      <c r="R150" s="9"/>
      <c r="S150" s="11"/>
    </row>
    <row r="151" spans="1:19" ht="15.75">
      <c r="A151" s="13">
        <v>46447</v>
      </c>
      <c r="B151" s="8">
        <f>5.1816 * CHOOSE(CONTROL!$C$15, $D$11, 100%, $F$11)</f>
        <v>5.1816000000000004</v>
      </c>
      <c r="C151" s="8">
        <f>5.192 * CHOOSE(CONTROL!$C$15, $D$11, 100%, $F$11)</f>
        <v>5.1920000000000002</v>
      </c>
      <c r="D151" s="8">
        <f>5.1731 * CHOOSE( CONTROL!$C$15, $D$11, 100%, $F$11)</f>
        <v>5.1730999999999998</v>
      </c>
      <c r="E151" s="12">
        <f>5.1789 * CHOOSE( CONTROL!$C$15, $D$11, 100%, $F$11)</f>
        <v>5.1788999999999996</v>
      </c>
      <c r="F151" s="4">
        <f>6.1805 * CHOOSE(CONTROL!$C$15, $D$11, 100%, $F$11)</f>
        <v>6.1805000000000003</v>
      </c>
      <c r="G151" s="8">
        <f>5.0585 * CHOOSE( CONTROL!$C$15, $D$11, 100%, $F$11)</f>
        <v>5.0585000000000004</v>
      </c>
      <c r="H151" s="4">
        <f>5.9483 * CHOOSE(CONTROL!$C$15, $D$11, 100%, $F$11)</f>
        <v>5.9482999999999997</v>
      </c>
      <c r="I151" s="8">
        <f>5.0209 * CHOOSE(CONTROL!$C$15, $D$11, 100%, $F$11)</f>
        <v>5.0209000000000001</v>
      </c>
      <c r="J151" s="4">
        <f>4.9603 * CHOOSE(CONTROL!$C$15, $D$11, 100%, $F$11)</f>
        <v>4.9603000000000002</v>
      </c>
      <c r="K151" s="4"/>
      <c r="L151" s="9">
        <v>27.3993</v>
      </c>
      <c r="M151" s="9">
        <v>12.063700000000001</v>
      </c>
      <c r="N151" s="9">
        <v>4.9444999999999997</v>
      </c>
      <c r="O151" s="9">
        <v>0.37459999999999999</v>
      </c>
      <c r="P151" s="9">
        <v>1.2939000000000001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5.2603 * CHOOSE(CONTROL!$C$15, $D$11, 100%, $F$11)</f>
        <v>5.2603</v>
      </c>
      <c r="C152" s="8">
        <f>5.2707 * CHOOSE(CONTROL!$C$15, $D$11, 100%, $F$11)</f>
        <v>5.2706999999999997</v>
      </c>
      <c r="D152" s="8">
        <f>5.2747 * CHOOSE( CONTROL!$C$15, $D$11, 100%, $F$11)</f>
        <v>5.2747000000000002</v>
      </c>
      <c r="E152" s="12">
        <f>5.2722 * CHOOSE( CONTROL!$C$15, $D$11, 100%, $F$11)</f>
        <v>5.2721999999999998</v>
      </c>
      <c r="F152" s="4">
        <f>6.2675 * CHOOSE(CONTROL!$C$15, $D$11, 100%, $F$11)</f>
        <v>6.2675000000000001</v>
      </c>
      <c r="G152" s="8">
        <f>5.1236 * CHOOSE( CONTROL!$C$15, $D$11, 100%, $F$11)</f>
        <v>5.1235999999999997</v>
      </c>
      <c r="H152" s="4">
        <f>6.0332 * CHOOSE(CONTROL!$C$15, $D$11, 100%, $F$11)</f>
        <v>6.0331999999999999</v>
      </c>
      <c r="I152" s="8">
        <f>5.0864 * CHOOSE(CONTROL!$C$15, $D$11, 100%, $F$11)</f>
        <v>5.0864000000000003</v>
      </c>
      <c r="J152" s="4">
        <f>5.0356 * CHOOSE(CONTROL!$C$15, $D$11, 100%, $F$11)</f>
        <v>5.0355999999999996</v>
      </c>
      <c r="K152" s="4"/>
      <c r="L152" s="9">
        <v>27.988800000000001</v>
      </c>
      <c r="M152" s="9">
        <v>11.6745</v>
      </c>
      <c r="N152" s="9">
        <v>4.7850000000000001</v>
      </c>
      <c r="O152" s="9">
        <v>0.36249999999999999</v>
      </c>
      <c r="P152" s="9">
        <v>1.1798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CONTROL!$C$32, 5.4056, 5.4003) * CHOOSE(CONTROL!$C$15, $D$11, 100%, $F$11)</f>
        <v>5.4055999999999997</v>
      </c>
      <c r="C153" s="8">
        <f>CHOOSE( CONTROL!$C$32, 5.416, 5.4107) * CHOOSE(CONTROL!$C$15, $D$11, 100%, $F$11)</f>
        <v>5.4160000000000004</v>
      </c>
      <c r="D153" s="8">
        <f>CHOOSE( CONTROL!$C$32, 5.4288, 5.4236) * CHOOSE( CONTROL!$C$15, $D$11, 100%, $F$11)</f>
        <v>5.4287999999999998</v>
      </c>
      <c r="E153" s="12">
        <f>CHOOSE( CONTROL!$C$32, 5.4226, 5.4173) * CHOOSE( CONTROL!$C$15, $D$11, 100%, $F$11)</f>
        <v>5.4226000000000001</v>
      </c>
      <c r="F153" s="4">
        <f>CHOOSE( CONTROL!$C$32, 6.4285, 6.4232) * CHOOSE(CONTROL!$C$15, $D$11, 100%, $F$11)</f>
        <v>6.4284999999999997</v>
      </c>
      <c r="G153" s="8">
        <f>CHOOSE( CONTROL!$C$32, 5.2708, 5.2657) * CHOOSE( CONTROL!$C$15, $D$11, 100%, $F$11)</f>
        <v>5.2708000000000004</v>
      </c>
      <c r="H153" s="4">
        <f>CHOOSE( CONTROL!$C$32, 6.19, 6.1849) * CHOOSE(CONTROL!$C$15, $D$11, 100%, $F$11)</f>
        <v>6.19</v>
      </c>
      <c r="I153" s="8">
        <f>CHOOSE( CONTROL!$C$32, 5.231, 5.226) * CHOOSE(CONTROL!$C$15, $D$11, 100%, $F$11)</f>
        <v>5.2309999999999999</v>
      </c>
      <c r="J153" s="4">
        <f>CHOOSE( CONTROL!$C$32, 5.1749, 5.1698) * CHOOSE(CONTROL!$C$15, $D$11, 100%, $F$11)</f>
        <v>5.1749000000000001</v>
      </c>
      <c r="K153" s="4"/>
      <c r="L153" s="9">
        <v>29.520499999999998</v>
      </c>
      <c r="M153" s="9">
        <v>12.063700000000001</v>
      </c>
      <c r="N153" s="9">
        <v>4.9444999999999997</v>
      </c>
      <c r="O153" s="9">
        <v>0.37459999999999999</v>
      </c>
      <c r="P153" s="9">
        <v>1.2192000000000001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CONTROL!$C$32, 5.3188, 5.3136) * CHOOSE(CONTROL!$C$15, $D$11, 100%, $F$11)</f>
        <v>5.3188000000000004</v>
      </c>
      <c r="C154" s="8">
        <f>CHOOSE( CONTROL!$C$32, 5.3293, 5.324) * CHOOSE(CONTROL!$C$15, $D$11, 100%, $F$11)</f>
        <v>5.3292999999999999</v>
      </c>
      <c r="D154" s="8">
        <f>CHOOSE( CONTROL!$C$32, 5.3497, 5.3444) * CHOOSE( CONTROL!$C$15, $D$11, 100%, $F$11)</f>
        <v>5.3497000000000003</v>
      </c>
      <c r="E154" s="12">
        <f>CHOOSE( CONTROL!$C$32, 5.3407, 5.3354) * CHOOSE( CONTROL!$C$15, $D$11, 100%, $F$11)</f>
        <v>5.3407</v>
      </c>
      <c r="F154" s="4">
        <f>CHOOSE( CONTROL!$C$32, 6.3543, 6.349) * CHOOSE(CONTROL!$C$15, $D$11, 100%, $F$11)</f>
        <v>6.3543000000000003</v>
      </c>
      <c r="G154" s="8">
        <f>CHOOSE( CONTROL!$C$32, 5.1901, 5.185) * CHOOSE( CONTROL!$C$15, $D$11, 100%, $F$11)</f>
        <v>5.1901000000000002</v>
      </c>
      <c r="H154" s="4">
        <f>CHOOSE( CONTROL!$C$32, 6.1177, 6.1126) * CHOOSE(CONTROL!$C$15, $D$11, 100%, $F$11)</f>
        <v>6.1177000000000001</v>
      </c>
      <c r="I154" s="8">
        <f>CHOOSE( CONTROL!$C$32, 5.1531, 5.148) * CHOOSE(CONTROL!$C$15, $D$11, 100%, $F$11)</f>
        <v>5.1531000000000002</v>
      </c>
      <c r="J154" s="4">
        <f>CHOOSE( CONTROL!$C$32, 5.0917, 5.0867) * CHOOSE(CONTROL!$C$15, $D$11, 100%, $F$11)</f>
        <v>5.0917000000000003</v>
      </c>
      <c r="K154" s="4"/>
      <c r="L154" s="9">
        <v>28.568200000000001</v>
      </c>
      <c r="M154" s="9">
        <v>11.6745</v>
      </c>
      <c r="N154" s="9">
        <v>4.7850000000000001</v>
      </c>
      <c r="O154" s="9">
        <v>0.36249999999999999</v>
      </c>
      <c r="P154" s="9">
        <v>1.1798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CONTROL!$C$32, 5.5473, 5.542) * CHOOSE(CONTROL!$C$15, $D$11, 100%, $F$11)</f>
        <v>5.5472999999999999</v>
      </c>
      <c r="C155" s="8">
        <f>CHOOSE( CONTROL!$C$32, 5.5577, 5.5524) * CHOOSE(CONTROL!$C$15, $D$11, 100%, $F$11)</f>
        <v>5.5576999999999996</v>
      </c>
      <c r="D155" s="8">
        <f>CHOOSE( CONTROL!$C$32, 5.5683, 5.563) * CHOOSE( CONTROL!$C$15, $D$11, 100%, $F$11)</f>
        <v>5.5682999999999998</v>
      </c>
      <c r="E155" s="12">
        <f>CHOOSE( CONTROL!$C$32, 5.5629, 5.5576) * CHOOSE( CONTROL!$C$15, $D$11, 100%, $F$11)</f>
        <v>5.5629</v>
      </c>
      <c r="F155" s="4">
        <f>CHOOSE( CONTROL!$C$32, 6.5827, 6.5774) * CHOOSE(CONTROL!$C$15, $D$11, 100%, $F$11)</f>
        <v>6.5827</v>
      </c>
      <c r="G155" s="8">
        <f>CHOOSE( CONTROL!$C$32, 5.3995, 5.3944) * CHOOSE( CONTROL!$C$15, $D$11, 100%, $F$11)</f>
        <v>5.3994999999999997</v>
      </c>
      <c r="H155" s="4">
        <f>CHOOSE( CONTROL!$C$32, 6.3404, 6.3352) * CHOOSE(CONTROL!$C$15, $D$11, 100%, $F$11)</f>
        <v>6.3403999999999998</v>
      </c>
      <c r="I155" s="8">
        <f>CHOOSE( CONTROL!$C$32, 5.3754, 5.3704) * CHOOSE(CONTROL!$C$15, $D$11, 100%, $F$11)</f>
        <v>5.3754</v>
      </c>
      <c r="J155" s="4">
        <f>CHOOSE( CONTROL!$C$32, 5.3106, 5.3056) * CHOOSE(CONTROL!$C$15, $D$11, 100%, $F$11)</f>
        <v>5.3106</v>
      </c>
      <c r="K155" s="4"/>
      <c r="L155" s="9">
        <v>29.520499999999998</v>
      </c>
      <c r="M155" s="9">
        <v>12.063700000000001</v>
      </c>
      <c r="N155" s="9">
        <v>4.9444999999999997</v>
      </c>
      <c r="O155" s="9">
        <v>0.37459999999999999</v>
      </c>
      <c r="P155" s="9">
        <v>1.2192000000000001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CONTROL!$C$32, 5.1198, 5.1146) * CHOOSE(CONTROL!$C$15, $D$11, 100%, $F$11)</f>
        <v>5.1197999999999997</v>
      </c>
      <c r="C156" s="8">
        <f>CHOOSE( CONTROL!$C$32, 5.1303, 5.125) * CHOOSE(CONTROL!$C$15, $D$11, 100%, $F$11)</f>
        <v>5.1303000000000001</v>
      </c>
      <c r="D156" s="8">
        <f>CHOOSE( CONTROL!$C$32, 5.1412, 5.1359) * CHOOSE( CONTROL!$C$15, $D$11, 100%, $F$11)</f>
        <v>5.1412000000000004</v>
      </c>
      <c r="E156" s="12">
        <f>CHOOSE( CONTROL!$C$32, 5.1356, 5.1304) * CHOOSE( CONTROL!$C$15, $D$11, 100%, $F$11)</f>
        <v>5.1356000000000002</v>
      </c>
      <c r="F156" s="4">
        <f>CHOOSE( CONTROL!$C$32, 6.1553, 6.15) * CHOOSE(CONTROL!$C$15, $D$11, 100%, $F$11)</f>
        <v>6.1553000000000004</v>
      </c>
      <c r="G156" s="8">
        <f>CHOOSE( CONTROL!$C$32, 4.9834, 4.9782) * CHOOSE( CONTROL!$C$15, $D$11, 100%, $F$11)</f>
        <v>4.9833999999999996</v>
      </c>
      <c r="H156" s="4">
        <f>CHOOSE( CONTROL!$C$32, 5.9237, 5.9186) * CHOOSE(CONTROL!$C$15, $D$11, 100%, $F$11)</f>
        <v>5.9237000000000002</v>
      </c>
      <c r="I156" s="8">
        <f>CHOOSE( CONTROL!$C$32, 4.9673, 4.9622) * CHOOSE(CONTROL!$C$15, $D$11, 100%, $F$11)</f>
        <v>4.9672999999999998</v>
      </c>
      <c r="J156" s="4">
        <f>CHOOSE( CONTROL!$C$32, 4.9011, 4.896) * CHOOSE(CONTROL!$C$15, $D$11, 100%, $F$11)</f>
        <v>4.9010999999999996</v>
      </c>
      <c r="K156" s="4"/>
      <c r="L156" s="9">
        <v>29.520499999999998</v>
      </c>
      <c r="M156" s="9">
        <v>12.063700000000001</v>
      </c>
      <c r="N156" s="9">
        <v>4.9444999999999997</v>
      </c>
      <c r="O156" s="9">
        <v>0.37459999999999999</v>
      </c>
      <c r="P156" s="9">
        <v>1.2192000000000001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CONTROL!$C$32, 5.0128, 5.0075) * CHOOSE(CONTROL!$C$15, $D$11, 100%, $F$11)</f>
        <v>5.0128000000000004</v>
      </c>
      <c r="C157" s="8">
        <f>CHOOSE( CONTROL!$C$32, 5.0232, 5.018) * CHOOSE(CONTROL!$C$15, $D$11, 100%, $F$11)</f>
        <v>5.0232000000000001</v>
      </c>
      <c r="D157" s="8">
        <f>CHOOSE( CONTROL!$C$32, 5.0343, 5.0291) * CHOOSE( CONTROL!$C$15, $D$11, 100%, $F$11)</f>
        <v>5.0343</v>
      </c>
      <c r="E157" s="12">
        <f>CHOOSE( CONTROL!$C$32, 5.0287, 5.0235) * CHOOSE( CONTROL!$C$15, $D$11, 100%, $F$11)</f>
        <v>5.0286999999999997</v>
      </c>
      <c r="F157" s="4">
        <f>CHOOSE( CONTROL!$C$32, 6.0482, 6.043) * CHOOSE(CONTROL!$C$15, $D$11, 100%, $F$11)</f>
        <v>6.0481999999999996</v>
      </c>
      <c r="G157" s="8">
        <f>CHOOSE( CONTROL!$C$32, 4.8792, 4.8741) * CHOOSE( CONTROL!$C$15, $D$11, 100%, $F$11)</f>
        <v>4.8792</v>
      </c>
      <c r="H157" s="4">
        <f>CHOOSE( CONTROL!$C$32, 5.8194, 5.8143) * CHOOSE(CONTROL!$C$15, $D$11, 100%, $F$11)</f>
        <v>5.8193999999999999</v>
      </c>
      <c r="I157" s="8">
        <f>CHOOSE( CONTROL!$C$32, 4.8654, 4.8603) * CHOOSE(CONTROL!$C$15, $D$11, 100%, $F$11)</f>
        <v>4.8654000000000002</v>
      </c>
      <c r="J157" s="4">
        <f>CHOOSE( CONTROL!$C$32, 4.7985, 4.7935) * CHOOSE(CONTROL!$C$15, $D$11, 100%, $F$11)</f>
        <v>4.7984999999999998</v>
      </c>
      <c r="K157" s="4"/>
      <c r="L157" s="9">
        <v>28.568200000000001</v>
      </c>
      <c r="M157" s="9">
        <v>11.6745</v>
      </c>
      <c r="N157" s="9">
        <v>4.7850000000000001</v>
      </c>
      <c r="O157" s="9">
        <v>0.36249999999999999</v>
      </c>
      <c r="P157" s="9">
        <v>1.1798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5.2298 * CHOOSE(CONTROL!$C$15, $D$11, 100%, $F$11)</f>
        <v>5.2298</v>
      </c>
      <c r="C158" s="8">
        <f>5.2402 * CHOOSE(CONTROL!$C$15, $D$11, 100%, $F$11)</f>
        <v>5.2401999999999997</v>
      </c>
      <c r="D158" s="8">
        <f>5.2526 * CHOOSE( CONTROL!$C$15, $D$11, 100%, $F$11)</f>
        <v>5.2526000000000002</v>
      </c>
      <c r="E158" s="12">
        <f>5.2474 * CHOOSE( CONTROL!$C$15, $D$11, 100%, $F$11)</f>
        <v>5.2473999999999998</v>
      </c>
      <c r="F158" s="4">
        <f>6.2652 * CHOOSE(CONTROL!$C$15, $D$11, 100%, $F$11)</f>
        <v>6.2652000000000001</v>
      </c>
      <c r="G158" s="8">
        <f>5.0901 * CHOOSE( CONTROL!$C$15, $D$11, 100%, $F$11)</f>
        <v>5.0900999999999996</v>
      </c>
      <c r="H158" s="4">
        <f>6.0309 * CHOOSE(CONTROL!$C$15, $D$11, 100%, $F$11)</f>
        <v>6.0308999999999999</v>
      </c>
      <c r="I158" s="8">
        <f>5.0748 * CHOOSE(CONTROL!$C$15, $D$11, 100%, $F$11)</f>
        <v>5.0747999999999998</v>
      </c>
      <c r="J158" s="4">
        <f>5.0064 * CHOOSE(CONTROL!$C$15, $D$11, 100%, $F$11)</f>
        <v>5.0064000000000002</v>
      </c>
      <c r="K158" s="4"/>
      <c r="L158" s="9">
        <v>28.921800000000001</v>
      </c>
      <c r="M158" s="9">
        <v>12.063700000000001</v>
      </c>
      <c r="N158" s="9">
        <v>4.9444999999999997</v>
      </c>
      <c r="O158" s="9">
        <v>0.37459999999999999</v>
      </c>
      <c r="P158" s="9">
        <v>1.2192000000000001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5.64 * CHOOSE(CONTROL!$C$15, $D$11, 100%, $F$11)</f>
        <v>5.64</v>
      </c>
      <c r="C159" s="8">
        <f>5.6504 * CHOOSE(CONTROL!$C$15, $D$11, 100%, $F$11)</f>
        <v>5.6504000000000003</v>
      </c>
      <c r="D159" s="8">
        <f>5.6342 * CHOOSE( CONTROL!$C$15, $D$11, 100%, $F$11)</f>
        <v>5.6341999999999999</v>
      </c>
      <c r="E159" s="12">
        <f>5.639 * CHOOSE( CONTROL!$C$15, $D$11, 100%, $F$11)</f>
        <v>5.6390000000000002</v>
      </c>
      <c r="F159" s="4">
        <f>6.6342 * CHOOSE(CONTROL!$C$15, $D$11, 100%, $F$11)</f>
        <v>6.6341999999999999</v>
      </c>
      <c r="G159" s="8">
        <f>5.5109 * CHOOSE( CONTROL!$C$15, $D$11, 100%, $F$11)</f>
        <v>5.5109000000000004</v>
      </c>
      <c r="H159" s="4">
        <f>6.3906 * CHOOSE(CONTROL!$C$15, $D$11, 100%, $F$11)</f>
        <v>6.3906000000000001</v>
      </c>
      <c r="I159" s="8">
        <f>5.5049 * CHOOSE(CONTROL!$C$15, $D$11, 100%, $F$11)</f>
        <v>5.5049000000000001</v>
      </c>
      <c r="J159" s="4">
        <f>5.3995 * CHOOSE(CONTROL!$C$15, $D$11, 100%, $F$11)</f>
        <v>5.3994999999999997</v>
      </c>
      <c r="K159" s="4"/>
      <c r="L159" s="9">
        <v>26.515499999999999</v>
      </c>
      <c r="M159" s="9">
        <v>11.6745</v>
      </c>
      <c r="N159" s="9">
        <v>4.7850000000000001</v>
      </c>
      <c r="O159" s="9">
        <v>0.36249999999999999</v>
      </c>
      <c r="P159" s="9">
        <v>1.2522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5.6297 * CHOOSE(CONTROL!$C$15, $D$11, 100%, $F$11)</f>
        <v>5.6296999999999997</v>
      </c>
      <c r="C160" s="8">
        <f>5.6402 * CHOOSE(CONTROL!$C$15, $D$11, 100%, $F$11)</f>
        <v>5.6402000000000001</v>
      </c>
      <c r="D160" s="8">
        <f>5.6262 * CHOOSE( CONTROL!$C$15, $D$11, 100%, $F$11)</f>
        <v>5.6261999999999999</v>
      </c>
      <c r="E160" s="12">
        <f>5.6302 * CHOOSE( CONTROL!$C$15, $D$11, 100%, $F$11)</f>
        <v>5.6302000000000003</v>
      </c>
      <c r="F160" s="4">
        <f>6.6239 * CHOOSE(CONTROL!$C$15, $D$11, 100%, $F$11)</f>
        <v>6.6238999999999999</v>
      </c>
      <c r="G160" s="8">
        <f>5.5027 * CHOOSE( CONTROL!$C$15, $D$11, 100%, $F$11)</f>
        <v>5.5026999999999999</v>
      </c>
      <c r="H160" s="4">
        <f>6.3806 * CHOOSE(CONTROL!$C$15, $D$11, 100%, $F$11)</f>
        <v>6.3806000000000003</v>
      </c>
      <c r="I160" s="8">
        <f>5.5026 * CHOOSE(CONTROL!$C$15, $D$11, 100%, $F$11)</f>
        <v>5.5026000000000002</v>
      </c>
      <c r="J160" s="4">
        <f>5.3896 * CHOOSE(CONTROL!$C$15, $D$11, 100%, $F$11)</f>
        <v>5.3895999999999997</v>
      </c>
      <c r="K160" s="4"/>
      <c r="L160" s="9">
        <v>27.3993</v>
      </c>
      <c r="M160" s="9">
        <v>12.063700000000001</v>
      </c>
      <c r="N160" s="9">
        <v>4.9444999999999997</v>
      </c>
      <c r="O160" s="9">
        <v>0.37459999999999999</v>
      </c>
      <c r="P160" s="9">
        <v>1.2939000000000001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5.8441 * CHOOSE(CONTROL!$C$15, $D$11, 100%, $F$11)</f>
        <v>5.8441000000000001</v>
      </c>
      <c r="C161" s="8">
        <f>5.8545 * CHOOSE(CONTROL!$C$15, $D$11, 100%, $F$11)</f>
        <v>5.8544999999999998</v>
      </c>
      <c r="D161" s="8">
        <f>5.8538 * CHOOSE( CONTROL!$C$15, $D$11, 100%, $F$11)</f>
        <v>5.8537999999999997</v>
      </c>
      <c r="E161" s="12">
        <f>5.8529 * CHOOSE( CONTROL!$C$15, $D$11, 100%, $F$11)</f>
        <v>5.8529</v>
      </c>
      <c r="F161" s="4">
        <f>6.867 * CHOOSE(CONTROL!$C$15, $D$11, 100%, $F$11)</f>
        <v>6.867</v>
      </c>
      <c r="G161" s="8">
        <f>5.7252 * CHOOSE( CONTROL!$C$15, $D$11, 100%, $F$11)</f>
        <v>5.7252000000000001</v>
      </c>
      <c r="H161" s="4">
        <f>6.6175 * CHOOSE(CONTROL!$C$15, $D$11, 100%, $F$11)</f>
        <v>6.6174999999999997</v>
      </c>
      <c r="I161" s="8">
        <f>5.7064 * CHOOSE(CONTROL!$C$15, $D$11, 100%, $F$11)</f>
        <v>5.7064000000000004</v>
      </c>
      <c r="J161" s="4">
        <f>5.595 * CHOOSE(CONTROL!$C$15, $D$11, 100%, $F$11)</f>
        <v>5.5949999999999998</v>
      </c>
      <c r="K161" s="4"/>
      <c r="L161" s="9">
        <v>27.3993</v>
      </c>
      <c r="M161" s="9">
        <v>12.063700000000001</v>
      </c>
      <c r="N161" s="9">
        <v>4.9444999999999997</v>
      </c>
      <c r="O161" s="9">
        <v>0.37459999999999999</v>
      </c>
      <c r="P161" s="9">
        <v>1.2939000000000001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5.4666 * CHOOSE(CONTROL!$C$15, $D$11, 100%, $F$11)</f>
        <v>5.4665999999999997</v>
      </c>
      <c r="C162" s="8">
        <f>5.477 * CHOOSE(CONTROL!$C$15, $D$11, 100%, $F$11)</f>
        <v>5.4770000000000003</v>
      </c>
      <c r="D162" s="8">
        <f>5.4785 * CHOOSE( CONTROL!$C$15, $D$11, 100%, $F$11)</f>
        <v>5.4785000000000004</v>
      </c>
      <c r="E162" s="12">
        <f>5.4768 * CHOOSE( CONTROL!$C$15, $D$11, 100%, $F$11)</f>
        <v>5.4767999999999999</v>
      </c>
      <c r="F162" s="4">
        <f>6.4817 * CHOOSE(CONTROL!$C$15, $D$11, 100%, $F$11)</f>
        <v>6.4817</v>
      </c>
      <c r="G162" s="8">
        <f>5.357 * CHOOSE( CONTROL!$C$15, $D$11, 100%, $F$11)</f>
        <v>5.3570000000000002</v>
      </c>
      <c r="H162" s="4">
        <f>6.2419 * CHOOSE(CONTROL!$C$15, $D$11, 100%, $F$11)</f>
        <v>6.2419000000000002</v>
      </c>
      <c r="I162" s="8">
        <f>5.3336 * CHOOSE(CONTROL!$C$15, $D$11, 100%, $F$11)</f>
        <v>5.3335999999999997</v>
      </c>
      <c r="J162" s="4">
        <f>5.2333 * CHOOSE(CONTROL!$C$15, $D$11, 100%, $F$11)</f>
        <v>5.2332999999999998</v>
      </c>
      <c r="K162" s="4"/>
      <c r="L162" s="9">
        <v>25.631599999999999</v>
      </c>
      <c r="M162" s="9">
        <v>11.285299999999999</v>
      </c>
      <c r="N162" s="9">
        <v>4.6254999999999997</v>
      </c>
      <c r="O162" s="9">
        <v>0.35039999999999999</v>
      </c>
      <c r="P162" s="9">
        <v>1.2104999999999999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5.3503 * CHOOSE(CONTROL!$C$15, $D$11, 100%, $F$11)</f>
        <v>5.3502999999999998</v>
      </c>
      <c r="C163" s="8">
        <f>5.3608 * CHOOSE(CONTROL!$C$15, $D$11, 100%, $F$11)</f>
        <v>5.3608000000000002</v>
      </c>
      <c r="D163" s="8">
        <f>5.3418 * CHOOSE( CONTROL!$C$15, $D$11, 100%, $F$11)</f>
        <v>5.3418000000000001</v>
      </c>
      <c r="E163" s="12">
        <f>5.3476 * CHOOSE( CONTROL!$C$15, $D$11, 100%, $F$11)</f>
        <v>5.3475999999999999</v>
      </c>
      <c r="F163" s="4">
        <f>6.3492 * CHOOSE(CONTROL!$C$15, $D$11, 100%, $F$11)</f>
        <v>6.3491999999999997</v>
      </c>
      <c r="G163" s="8">
        <f>5.223 * CHOOSE( CONTROL!$C$15, $D$11, 100%, $F$11)</f>
        <v>5.2229999999999999</v>
      </c>
      <c r="H163" s="4">
        <f>6.1128 * CHOOSE(CONTROL!$C$15, $D$11, 100%, $F$11)</f>
        <v>6.1128</v>
      </c>
      <c r="I163" s="8">
        <f>5.1826 * CHOOSE(CONTROL!$C$15, $D$11, 100%, $F$11)</f>
        <v>5.1825999999999999</v>
      </c>
      <c r="J163" s="4">
        <f>5.1219 * CHOOSE(CONTROL!$C$15, $D$11, 100%, $F$11)</f>
        <v>5.1219000000000001</v>
      </c>
      <c r="K163" s="4"/>
      <c r="L163" s="9">
        <v>27.3993</v>
      </c>
      <c r="M163" s="9">
        <v>12.063700000000001</v>
      </c>
      <c r="N163" s="9">
        <v>4.9444999999999997</v>
      </c>
      <c r="O163" s="9">
        <v>0.37459999999999999</v>
      </c>
      <c r="P163" s="9">
        <v>1.2939000000000001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5.4316 * CHOOSE(CONTROL!$C$15, $D$11, 100%, $F$11)</f>
        <v>5.4316000000000004</v>
      </c>
      <c r="C164" s="8">
        <f>5.442 * CHOOSE(CONTROL!$C$15, $D$11, 100%, $F$11)</f>
        <v>5.4420000000000002</v>
      </c>
      <c r="D164" s="8">
        <f>5.446 * CHOOSE( CONTROL!$C$15, $D$11, 100%, $F$11)</f>
        <v>5.4459999999999997</v>
      </c>
      <c r="E164" s="12">
        <f>5.4435 * CHOOSE( CONTROL!$C$15, $D$11, 100%, $F$11)</f>
        <v>5.4435000000000002</v>
      </c>
      <c r="F164" s="4">
        <f>6.4388 * CHOOSE(CONTROL!$C$15, $D$11, 100%, $F$11)</f>
        <v>6.4387999999999996</v>
      </c>
      <c r="G164" s="8">
        <f>5.2905 * CHOOSE( CONTROL!$C$15, $D$11, 100%, $F$11)</f>
        <v>5.2904999999999998</v>
      </c>
      <c r="H164" s="4">
        <f>6.2001 * CHOOSE(CONTROL!$C$15, $D$11, 100%, $F$11)</f>
        <v>6.2000999999999999</v>
      </c>
      <c r="I164" s="8">
        <f>5.2506 * CHOOSE(CONTROL!$C$15, $D$11, 100%, $F$11)</f>
        <v>5.2506000000000004</v>
      </c>
      <c r="J164" s="4">
        <f>5.1998 * CHOOSE(CONTROL!$C$15, $D$11, 100%, $F$11)</f>
        <v>5.1997999999999998</v>
      </c>
      <c r="K164" s="4"/>
      <c r="L164" s="9">
        <v>27.988800000000001</v>
      </c>
      <c r="M164" s="9">
        <v>11.6745</v>
      </c>
      <c r="N164" s="9">
        <v>4.7850000000000001</v>
      </c>
      <c r="O164" s="9">
        <v>0.36249999999999999</v>
      </c>
      <c r="P164" s="9">
        <v>1.1798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CONTROL!$C$32, 5.5814, 5.5762) * CHOOSE(CONTROL!$C$15, $D$11, 100%, $F$11)</f>
        <v>5.5814000000000004</v>
      </c>
      <c r="C165" s="8">
        <f>CHOOSE( CONTROL!$C$32, 5.5918, 5.5866) * CHOOSE(CONTROL!$C$15, $D$11, 100%, $F$11)</f>
        <v>5.5918000000000001</v>
      </c>
      <c r="D165" s="8">
        <f>CHOOSE( CONTROL!$C$32, 5.6047, 5.5994) * CHOOSE( CONTROL!$C$15, $D$11, 100%, $F$11)</f>
        <v>5.6047000000000002</v>
      </c>
      <c r="E165" s="12">
        <f>CHOOSE( CONTROL!$C$32, 5.5984, 5.5932) * CHOOSE( CONTROL!$C$15, $D$11, 100%, $F$11)</f>
        <v>5.5983999999999998</v>
      </c>
      <c r="F165" s="4">
        <f>CHOOSE( CONTROL!$C$32, 6.6043, 6.5991) * CHOOSE(CONTROL!$C$15, $D$11, 100%, $F$11)</f>
        <v>6.6043000000000003</v>
      </c>
      <c r="G165" s="8">
        <f>CHOOSE( CONTROL!$C$32, 5.4422, 5.4371) * CHOOSE( CONTROL!$C$15, $D$11, 100%, $F$11)</f>
        <v>5.4421999999999997</v>
      </c>
      <c r="H165" s="4">
        <f>CHOOSE( CONTROL!$C$32, 6.3615, 6.3563) * CHOOSE(CONTROL!$C$15, $D$11, 100%, $F$11)</f>
        <v>6.3615000000000004</v>
      </c>
      <c r="I165" s="8">
        <f>CHOOSE( CONTROL!$C$32, 5.3996, 5.3945) * CHOOSE(CONTROL!$C$15, $D$11, 100%, $F$11)</f>
        <v>5.3996000000000004</v>
      </c>
      <c r="J165" s="4">
        <f>CHOOSE( CONTROL!$C$32, 5.3434, 5.3383) * CHOOSE(CONTROL!$C$15, $D$11, 100%, $F$11)</f>
        <v>5.3433999999999999</v>
      </c>
      <c r="K165" s="4"/>
      <c r="L165" s="9">
        <v>29.520499999999998</v>
      </c>
      <c r="M165" s="9">
        <v>12.063700000000001</v>
      </c>
      <c r="N165" s="9">
        <v>4.9444999999999997</v>
      </c>
      <c r="O165" s="9">
        <v>0.37459999999999999</v>
      </c>
      <c r="P165" s="9">
        <v>1.2192000000000001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CONTROL!$C$32, 5.4918, 5.4866) * CHOOSE(CONTROL!$C$15, $D$11, 100%, $F$11)</f>
        <v>5.4917999999999996</v>
      </c>
      <c r="C166" s="8">
        <f>CHOOSE( CONTROL!$C$32, 5.5023, 5.497) * CHOOSE(CONTROL!$C$15, $D$11, 100%, $F$11)</f>
        <v>5.5023</v>
      </c>
      <c r="D166" s="8">
        <f>CHOOSE( CONTROL!$C$32, 5.5227, 5.5175) * CHOOSE( CONTROL!$C$15, $D$11, 100%, $F$11)</f>
        <v>5.5227000000000004</v>
      </c>
      <c r="E166" s="12">
        <f>CHOOSE( CONTROL!$C$32, 5.5137, 5.5085) * CHOOSE( CONTROL!$C$15, $D$11, 100%, $F$11)</f>
        <v>5.5137</v>
      </c>
      <c r="F166" s="4">
        <f>CHOOSE( CONTROL!$C$32, 6.5273, 6.522) * CHOOSE(CONTROL!$C$15, $D$11, 100%, $F$11)</f>
        <v>6.5273000000000003</v>
      </c>
      <c r="G166" s="8">
        <f>CHOOSE( CONTROL!$C$32, 5.3587, 5.3536) * CHOOSE( CONTROL!$C$15, $D$11, 100%, $F$11)</f>
        <v>5.3586999999999998</v>
      </c>
      <c r="H166" s="4">
        <f>CHOOSE( CONTROL!$C$32, 6.2864, 6.2812) * CHOOSE(CONTROL!$C$15, $D$11, 100%, $F$11)</f>
        <v>6.2864000000000004</v>
      </c>
      <c r="I166" s="8">
        <f>CHOOSE( CONTROL!$C$32, 5.3189, 5.3139) * CHOOSE(CONTROL!$C$15, $D$11, 100%, $F$11)</f>
        <v>5.3189000000000002</v>
      </c>
      <c r="J166" s="4">
        <f>CHOOSE( CONTROL!$C$32, 5.2575, 5.2525) * CHOOSE(CONTROL!$C$15, $D$11, 100%, $F$11)</f>
        <v>5.2575000000000003</v>
      </c>
      <c r="K166" s="4"/>
      <c r="L166" s="9">
        <v>28.568200000000001</v>
      </c>
      <c r="M166" s="9">
        <v>11.6745</v>
      </c>
      <c r="N166" s="9">
        <v>4.7850000000000001</v>
      </c>
      <c r="O166" s="9">
        <v>0.36249999999999999</v>
      </c>
      <c r="P166" s="9">
        <v>1.1798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CONTROL!$C$32, 5.7277, 5.7225) * CHOOSE(CONTROL!$C$15, $D$11, 100%, $F$11)</f>
        <v>5.7276999999999996</v>
      </c>
      <c r="C167" s="8">
        <f>CHOOSE( CONTROL!$C$32, 5.7382, 5.7329) * CHOOSE(CONTROL!$C$15, $D$11, 100%, $F$11)</f>
        <v>5.7382</v>
      </c>
      <c r="D167" s="8">
        <f>CHOOSE( CONTROL!$C$32, 5.7488, 5.7435) * CHOOSE( CONTROL!$C$15, $D$11, 100%, $F$11)</f>
        <v>5.7488000000000001</v>
      </c>
      <c r="E167" s="12">
        <f>CHOOSE( CONTROL!$C$32, 5.7434, 5.7381) * CHOOSE( CONTROL!$C$15, $D$11, 100%, $F$11)</f>
        <v>5.7434000000000003</v>
      </c>
      <c r="F167" s="4">
        <f>CHOOSE( CONTROL!$C$32, 6.7631, 6.7579) * CHOOSE(CONTROL!$C$15, $D$11, 100%, $F$11)</f>
        <v>6.7630999999999997</v>
      </c>
      <c r="G167" s="8">
        <f>CHOOSE( CONTROL!$C$32, 5.5754, 5.5703) * CHOOSE( CONTROL!$C$15, $D$11, 100%, $F$11)</f>
        <v>5.5754000000000001</v>
      </c>
      <c r="H167" s="4">
        <f>CHOOSE( CONTROL!$C$32, 6.5163, 6.5112) * CHOOSE(CONTROL!$C$15, $D$11, 100%, $F$11)</f>
        <v>6.5163000000000002</v>
      </c>
      <c r="I167" s="8">
        <f>CHOOSE( CONTROL!$C$32, 5.5484, 5.5434) * CHOOSE(CONTROL!$C$15, $D$11, 100%, $F$11)</f>
        <v>5.5484</v>
      </c>
      <c r="J167" s="4">
        <f>CHOOSE( CONTROL!$C$32, 5.4835, 5.4785) * CHOOSE(CONTROL!$C$15, $D$11, 100%, $F$11)</f>
        <v>5.4835000000000003</v>
      </c>
      <c r="K167" s="4"/>
      <c r="L167" s="9">
        <v>29.520499999999998</v>
      </c>
      <c r="M167" s="9">
        <v>12.063700000000001</v>
      </c>
      <c r="N167" s="9">
        <v>4.9444999999999997</v>
      </c>
      <c r="O167" s="9">
        <v>0.37459999999999999</v>
      </c>
      <c r="P167" s="9">
        <v>1.2192000000000001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CONTROL!$C$32, 5.2864, 5.2811) * CHOOSE(CONTROL!$C$15, $D$11, 100%, $F$11)</f>
        <v>5.2864000000000004</v>
      </c>
      <c r="C168" s="8">
        <f>CHOOSE( CONTROL!$C$32, 5.2968, 5.2915) * CHOOSE(CONTROL!$C$15, $D$11, 100%, $F$11)</f>
        <v>5.2968000000000002</v>
      </c>
      <c r="D168" s="8">
        <f>CHOOSE( CONTROL!$C$32, 5.3077, 5.3025) * CHOOSE( CONTROL!$C$15, $D$11, 100%, $F$11)</f>
        <v>5.3076999999999996</v>
      </c>
      <c r="E168" s="12">
        <f>CHOOSE( CONTROL!$C$32, 5.3022, 5.2969) * CHOOSE( CONTROL!$C$15, $D$11, 100%, $F$11)</f>
        <v>5.3022</v>
      </c>
      <c r="F168" s="4">
        <f>CHOOSE( CONTROL!$C$32, 6.3218, 6.3165) * CHOOSE(CONTROL!$C$15, $D$11, 100%, $F$11)</f>
        <v>6.3217999999999996</v>
      </c>
      <c r="G168" s="8">
        <f>CHOOSE( CONTROL!$C$32, 5.1457, 5.1406) * CHOOSE( CONTROL!$C$15, $D$11, 100%, $F$11)</f>
        <v>5.1456999999999997</v>
      </c>
      <c r="H168" s="4">
        <f>CHOOSE( CONTROL!$C$32, 6.0861, 6.0809) * CHOOSE(CONTROL!$C$15, $D$11, 100%, $F$11)</f>
        <v>6.0861000000000001</v>
      </c>
      <c r="I168" s="8">
        <f>CHOOSE( CONTROL!$C$32, 5.1269, 5.1219) * CHOOSE(CONTROL!$C$15, $D$11, 100%, $F$11)</f>
        <v>5.1269</v>
      </c>
      <c r="J168" s="4">
        <f>CHOOSE( CONTROL!$C$32, 5.0606, 5.0556) * CHOOSE(CONTROL!$C$15, $D$11, 100%, $F$11)</f>
        <v>5.0606</v>
      </c>
      <c r="K168" s="4"/>
      <c r="L168" s="9">
        <v>29.520499999999998</v>
      </c>
      <c r="M168" s="9">
        <v>12.063700000000001</v>
      </c>
      <c r="N168" s="9">
        <v>4.9444999999999997</v>
      </c>
      <c r="O168" s="9">
        <v>0.37459999999999999</v>
      </c>
      <c r="P168" s="9">
        <v>1.2192000000000001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CONTROL!$C$32, 5.1758, 5.1706) * CHOOSE(CONTROL!$C$15, $D$11, 100%, $F$11)</f>
        <v>5.1757999999999997</v>
      </c>
      <c r="C169" s="8">
        <f>CHOOSE( CONTROL!$C$32, 5.1863, 5.181) * CHOOSE(CONTROL!$C$15, $D$11, 100%, $F$11)</f>
        <v>5.1863000000000001</v>
      </c>
      <c r="D169" s="8">
        <f>CHOOSE( CONTROL!$C$32, 5.1974, 5.1921) * CHOOSE( CONTROL!$C$15, $D$11, 100%, $F$11)</f>
        <v>5.1974</v>
      </c>
      <c r="E169" s="12">
        <f>CHOOSE( CONTROL!$C$32, 5.1918, 5.1865) * CHOOSE( CONTROL!$C$15, $D$11, 100%, $F$11)</f>
        <v>5.1917999999999997</v>
      </c>
      <c r="F169" s="4">
        <f>CHOOSE( CONTROL!$C$32, 6.2113, 6.206) * CHOOSE(CONTROL!$C$15, $D$11, 100%, $F$11)</f>
        <v>6.2112999999999996</v>
      </c>
      <c r="G169" s="8">
        <f>CHOOSE( CONTROL!$C$32, 5.0382, 5.0331) * CHOOSE( CONTROL!$C$15, $D$11, 100%, $F$11)</f>
        <v>5.0381999999999998</v>
      </c>
      <c r="H169" s="4">
        <f>CHOOSE( CONTROL!$C$32, 5.9783, 5.9732) * CHOOSE(CONTROL!$C$15, $D$11, 100%, $F$11)</f>
        <v>5.9782999999999999</v>
      </c>
      <c r="I169" s="8">
        <f>CHOOSE( CONTROL!$C$32, 5.0217, 5.0166) * CHOOSE(CONTROL!$C$15, $D$11, 100%, $F$11)</f>
        <v>5.0217000000000001</v>
      </c>
      <c r="J169" s="4">
        <f>CHOOSE( CONTROL!$C$32, 4.9547, 4.9497) * CHOOSE(CONTROL!$C$15, $D$11, 100%, $F$11)</f>
        <v>4.9546999999999999</v>
      </c>
      <c r="K169" s="4"/>
      <c r="L169" s="9">
        <v>28.568200000000001</v>
      </c>
      <c r="M169" s="9">
        <v>11.6745</v>
      </c>
      <c r="N169" s="9">
        <v>4.7850000000000001</v>
      </c>
      <c r="O169" s="9">
        <v>0.36249999999999999</v>
      </c>
      <c r="P169" s="9">
        <v>1.1798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5.4001 * CHOOSE(CONTROL!$C$15, $D$11, 100%, $F$11)</f>
        <v>5.4001000000000001</v>
      </c>
      <c r="C170" s="8">
        <f>5.4105 * CHOOSE(CONTROL!$C$15, $D$11, 100%, $F$11)</f>
        <v>5.4104999999999999</v>
      </c>
      <c r="D170" s="8">
        <f>5.4229 * CHOOSE( CONTROL!$C$15, $D$11, 100%, $F$11)</f>
        <v>5.4229000000000003</v>
      </c>
      <c r="E170" s="12">
        <f>5.4177 * CHOOSE( CONTROL!$C$15, $D$11, 100%, $F$11)</f>
        <v>5.4177</v>
      </c>
      <c r="F170" s="4">
        <f>6.4355 * CHOOSE(CONTROL!$C$15, $D$11, 100%, $F$11)</f>
        <v>6.4355000000000002</v>
      </c>
      <c r="G170" s="8">
        <f>5.2561 * CHOOSE( CONTROL!$C$15, $D$11, 100%, $F$11)</f>
        <v>5.2561</v>
      </c>
      <c r="H170" s="4">
        <f>6.1969 * CHOOSE(CONTROL!$C$15, $D$11, 100%, $F$11)</f>
        <v>6.1969000000000003</v>
      </c>
      <c r="I170" s="8">
        <f>5.238 * CHOOSE(CONTROL!$C$15, $D$11, 100%, $F$11)</f>
        <v>5.2380000000000004</v>
      </c>
      <c r="J170" s="4">
        <f>5.1696 * CHOOSE(CONTROL!$C$15, $D$11, 100%, $F$11)</f>
        <v>5.1696</v>
      </c>
      <c r="K170" s="4"/>
      <c r="L170" s="9">
        <v>28.921800000000001</v>
      </c>
      <c r="M170" s="9">
        <v>12.063700000000001</v>
      </c>
      <c r="N170" s="9">
        <v>4.9444999999999997</v>
      </c>
      <c r="O170" s="9">
        <v>0.37459999999999999</v>
      </c>
      <c r="P170" s="9">
        <v>1.2192000000000001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5.8236 * CHOOSE(CONTROL!$C$15, $D$11, 100%, $F$11)</f>
        <v>5.8235999999999999</v>
      </c>
      <c r="C171" s="8">
        <f>5.8341 * CHOOSE(CONTROL!$C$15, $D$11, 100%, $F$11)</f>
        <v>5.8341000000000003</v>
      </c>
      <c r="D171" s="8">
        <f>5.8178 * CHOOSE( CONTROL!$C$15, $D$11, 100%, $F$11)</f>
        <v>5.8178000000000001</v>
      </c>
      <c r="E171" s="12">
        <f>5.8226 * CHOOSE( CONTROL!$C$15, $D$11, 100%, $F$11)</f>
        <v>5.8226000000000004</v>
      </c>
      <c r="F171" s="4">
        <f>6.8178 * CHOOSE(CONTROL!$C$15, $D$11, 100%, $F$11)</f>
        <v>6.8178000000000001</v>
      </c>
      <c r="G171" s="8">
        <f>5.69 * CHOOSE( CONTROL!$C$15, $D$11, 100%, $F$11)</f>
        <v>5.69</v>
      </c>
      <c r="H171" s="4">
        <f>6.5696 * CHOOSE(CONTROL!$C$15, $D$11, 100%, $F$11)</f>
        <v>6.5696000000000003</v>
      </c>
      <c r="I171" s="8">
        <f>5.681 * CHOOSE(CONTROL!$C$15, $D$11, 100%, $F$11)</f>
        <v>5.681</v>
      </c>
      <c r="J171" s="4">
        <f>5.5754 * CHOOSE(CONTROL!$C$15, $D$11, 100%, $F$11)</f>
        <v>5.5754000000000001</v>
      </c>
      <c r="K171" s="4"/>
      <c r="L171" s="9">
        <v>26.515499999999999</v>
      </c>
      <c r="M171" s="9">
        <v>11.6745</v>
      </c>
      <c r="N171" s="9">
        <v>4.7850000000000001</v>
      </c>
      <c r="O171" s="9">
        <v>0.36249999999999999</v>
      </c>
      <c r="P171" s="9">
        <v>1.2522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5.8131 * CHOOSE(CONTROL!$C$15, $D$11, 100%, $F$11)</f>
        <v>5.8131000000000004</v>
      </c>
      <c r="C172" s="8">
        <f>5.8235 * CHOOSE(CONTROL!$C$15, $D$11, 100%, $F$11)</f>
        <v>5.8235000000000001</v>
      </c>
      <c r="D172" s="8">
        <f>5.8095 * CHOOSE( CONTROL!$C$15, $D$11, 100%, $F$11)</f>
        <v>5.8094999999999999</v>
      </c>
      <c r="E172" s="12">
        <f>5.8135 * CHOOSE( CONTROL!$C$15, $D$11, 100%, $F$11)</f>
        <v>5.8135000000000003</v>
      </c>
      <c r="F172" s="4">
        <f>6.8073 * CHOOSE(CONTROL!$C$15, $D$11, 100%, $F$11)</f>
        <v>6.8072999999999997</v>
      </c>
      <c r="G172" s="8">
        <f>5.6814 * CHOOSE( CONTROL!$C$15, $D$11, 100%, $F$11)</f>
        <v>5.6814</v>
      </c>
      <c r="H172" s="4">
        <f>6.5593 * CHOOSE(CONTROL!$C$15, $D$11, 100%, $F$11)</f>
        <v>6.5593000000000004</v>
      </c>
      <c r="I172" s="8">
        <f>5.6784 * CHOOSE(CONTROL!$C$15, $D$11, 100%, $F$11)</f>
        <v>5.6783999999999999</v>
      </c>
      <c r="J172" s="4">
        <f>5.5653 * CHOOSE(CONTROL!$C$15, $D$11, 100%, $F$11)</f>
        <v>5.5652999999999997</v>
      </c>
      <c r="K172" s="4"/>
      <c r="L172" s="9">
        <v>27.3993</v>
      </c>
      <c r="M172" s="9">
        <v>12.063700000000001</v>
      </c>
      <c r="N172" s="9">
        <v>4.9444999999999997</v>
      </c>
      <c r="O172" s="9">
        <v>0.37459999999999999</v>
      </c>
      <c r="P172" s="9">
        <v>1.2939000000000001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5.9609 * CHOOSE(CONTROL!$C$15, $D$11, 100%, $F$11)</f>
        <v>5.9608999999999996</v>
      </c>
      <c r="C173" s="8">
        <f>5.9713 * CHOOSE(CONTROL!$C$15, $D$11, 100%, $F$11)</f>
        <v>5.9713000000000003</v>
      </c>
      <c r="D173" s="8">
        <f>5.9706 * CHOOSE( CONTROL!$C$15, $D$11, 100%, $F$11)</f>
        <v>5.9706000000000001</v>
      </c>
      <c r="E173" s="12">
        <f>5.9697 * CHOOSE( CONTROL!$C$15, $D$11, 100%, $F$11)</f>
        <v>5.9696999999999996</v>
      </c>
      <c r="F173" s="4">
        <f>6.9838 * CHOOSE(CONTROL!$C$15, $D$11, 100%, $F$11)</f>
        <v>6.9837999999999996</v>
      </c>
      <c r="G173" s="8">
        <f>5.839 * CHOOSE( CONTROL!$C$15, $D$11, 100%, $F$11)</f>
        <v>5.8390000000000004</v>
      </c>
      <c r="H173" s="4">
        <f>6.7313 * CHOOSE(CONTROL!$C$15, $D$11, 100%, $F$11)</f>
        <v>6.7313000000000001</v>
      </c>
      <c r="I173" s="8">
        <f>5.8184 * CHOOSE(CONTROL!$C$15, $D$11, 100%, $F$11)</f>
        <v>5.8183999999999996</v>
      </c>
      <c r="J173" s="4">
        <f>5.7069 * CHOOSE(CONTROL!$C$15, $D$11, 100%, $F$11)</f>
        <v>5.7069000000000001</v>
      </c>
      <c r="K173" s="4"/>
      <c r="L173" s="9">
        <v>27.3993</v>
      </c>
      <c r="M173" s="9">
        <v>12.063700000000001</v>
      </c>
      <c r="N173" s="9">
        <v>4.9444999999999997</v>
      </c>
      <c r="O173" s="9">
        <v>0.37459999999999999</v>
      </c>
      <c r="P173" s="9">
        <v>1.2939000000000001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5.5758 * CHOOSE(CONTROL!$C$15, $D$11, 100%, $F$11)</f>
        <v>5.5758000000000001</v>
      </c>
      <c r="C174" s="8">
        <f>5.5863 * CHOOSE(CONTROL!$C$15, $D$11, 100%, $F$11)</f>
        <v>5.5862999999999996</v>
      </c>
      <c r="D174" s="8">
        <f>5.5878 * CHOOSE( CONTROL!$C$15, $D$11, 100%, $F$11)</f>
        <v>5.5877999999999997</v>
      </c>
      <c r="E174" s="12">
        <f>5.5861 * CHOOSE( CONTROL!$C$15, $D$11, 100%, $F$11)</f>
        <v>5.5861000000000001</v>
      </c>
      <c r="F174" s="4">
        <f>6.5909 * CHOOSE(CONTROL!$C$15, $D$11, 100%, $F$11)</f>
        <v>6.5909000000000004</v>
      </c>
      <c r="G174" s="8">
        <f>5.4635 * CHOOSE( CONTROL!$C$15, $D$11, 100%, $F$11)</f>
        <v>5.4634999999999998</v>
      </c>
      <c r="H174" s="4">
        <f>6.3484 * CHOOSE(CONTROL!$C$15, $D$11, 100%, $F$11)</f>
        <v>6.3483999999999998</v>
      </c>
      <c r="I174" s="8">
        <f>5.4383 * CHOOSE(CONTROL!$C$15, $D$11, 100%, $F$11)</f>
        <v>5.4382999999999999</v>
      </c>
      <c r="J174" s="4">
        <f>5.338 * CHOOSE(CONTROL!$C$15, $D$11, 100%, $F$11)</f>
        <v>5.3380000000000001</v>
      </c>
      <c r="K174" s="4"/>
      <c r="L174" s="9">
        <v>24.747800000000002</v>
      </c>
      <c r="M174" s="9">
        <v>10.8962</v>
      </c>
      <c r="N174" s="9">
        <v>4.4660000000000002</v>
      </c>
      <c r="O174" s="9">
        <v>0.33829999999999999</v>
      </c>
      <c r="P174" s="9">
        <v>1.1687000000000001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5.4572 * CHOOSE(CONTROL!$C$15, $D$11, 100%, $F$11)</f>
        <v>5.4572000000000003</v>
      </c>
      <c r="C175" s="8">
        <f>5.4677 * CHOOSE(CONTROL!$C$15, $D$11, 100%, $F$11)</f>
        <v>5.4676999999999998</v>
      </c>
      <c r="D175" s="8">
        <f>5.4487 * CHOOSE( CONTROL!$C$15, $D$11, 100%, $F$11)</f>
        <v>5.4486999999999997</v>
      </c>
      <c r="E175" s="12">
        <f>5.4545 * CHOOSE( CONTROL!$C$15, $D$11, 100%, $F$11)</f>
        <v>5.4545000000000003</v>
      </c>
      <c r="F175" s="4">
        <f>6.4561 * CHOOSE(CONTROL!$C$15, $D$11, 100%, $F$11)</f>
        <v>6.4561000000000002</v>
      </c>
      <c r="G175" s="8">
        <f>5.3272 * CHOOSE( CONTROL!$C$15, $D$11, 100%, $F$11)</f>
        <v>5.3272000000000004</v>
      </c>
      <c r="H175" s="4">
        <f>6.217 * CHOOSE(CONTROL!$C$15, $D$11, 100%, $F$11)</f>
        <v>6.2169999999999996</v>
      </c>
      <c r="I175" s="8">
        <f>5.2851 * CHOOSE(CONTROL!$C$15, $D$11, 100%, $F$11)</f>
        <v>5.2850999999999999</v>
      </c>
      <c r="J175" s="4">
        <f>5.2244 * CHOOSE(CONTROL!$C$15, $D$11, 100%, $F$11)</f>
        <v>5.2244000000000002</v>
      </c>
      <c r="K175" s="4"/>
      <c r="L175" s="9">
        <v>27.3993</v>
      </c>
      <c r="M175" s="9">
        <v>12.063700000000001</v>
      </c>
      <c r="N175" s="9">
        <v>4.9444999999999997</v>
      </c>
      <c r="O175" s="9">
        <v>0.37459999999999999</v>
      </c>
      <c r="P175" s="9">
        <v>1.2939000000000001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5.5401 * CHOOSE(CONTROL!$C$15, $D$11, 100%, $F$11)</f>
        <v>5.5400999999999998</v>
      </c>
      <c r="C176" s="8">
        <f>5.5505 * CHOOSE(CONTROL!$C$15, $D$11, 100%, $F$11)</f>
        <v>5.5505000000000004</v>
      </c>
      <c r="D176" s="8">
        <f>5.5546 * CHOOSE( CONTROL!$C$15, $D$11, 100%, $F$11)</f>
        <v>5.5545999999999998</v>
      </c>
      <c r="E176" s="12">
        <f>5.5521 * CHOOSE( CONTROL!$C$15, $D$11, 100%, $F$11)</f>
        <v>5.5521000000000003</v>
      </c>
      <c r="F176" s="4">
        <f>6.5473 * CHOOSE(CONTROL!$C$15, $D$11, 100%, $F$11)</f>
        <v>6.5472999999999999</v>
      </c>
      <c r="G176" s="8">
        <f>5.3963 * CHOOSE( CONTROL!$C$15, $D$11, 100%, $F$11)</f>
        <v>5.3963000000000001</v>
      </c>
      <c r="H176" s="4">
        <f>6.3059 * CHOOSE(CONTROL!$C$15, $D$11, 100%, $F$11)</f>
        <v>6.3059000000000003</v>
      </c>
      <c r="I176" s="8">
        <f>5.3546 * CHOOSE(CONTROL!$C$15, $D$11, 100%, $F$11)</f>
        <v>5.3545999999999996</v>
      </c>
      <c r="J176" s="4">
        <f>5.3038 * CHOOSE(CONTROL!$C$15, $D$11, 100%, $F$11)</f>
        <v>5.3037999999999998</v>
      </c>
      <c r="K176" s="4"/>
      <c r="L176" s="9">
        <v>27.988800000000001</v>
      </c>
      <c r="M176" s="9">
        <v>11.6745</v>
      </c>
      <c r="N176" s="9">
        <v>4.7850000000000001</v>
      </c>
      <c r="O176" s="9">
        <v>0.36249999999999999</v>
      </c>
      <c r="P176" s="9">
        <v>1.1798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CONTROL!$C$32, 5.6928, 5.6876) * CHOOSE(CONTROL!$C$15, $D$11, 100%, $F$11)</f>
        <v>5.6928000000000001</v>
      </c>
      <c r="C177" s="8">
        <f>CHOOSE( CONTROL!$C$32, 5.7033, 5.698) * CHOOSE(CONTROL!$C$15, $D$11, 100%, $F$11)</f>
        <v>5.7032999999999996</v>
      </c>
      <c r="D177" s="8">
        <f>CHOOSE( CONTROL!$C$32, 5.7161, 5.7109) * CHOOSE( CONTROL!$C$15, $D$11, 100%, $F$11)</f>
        <v>5.7161</v>
      </c>
      <c r="E177" s="12">
        <f>CHOOSE( CONTROL!$C$32, 5.7099, 5.7046) * CHOOSE( CONTROL!$C$15, $D$11, 100%, $F$11)</f>
        <v>5.7099000000000002</v>
      </c>
      <c r="F177" s="4">
        <f>CHOOSE( CONTROL!$C$32, 6.7157, 6.7105) * CHOOSE(CONTROL!$C$15, $D$11, 100%, $F$11)</f>
        <v>6.7157</v>
      </c>
      <c r="G177" s="8">
        <f>CHOOSE( CONTROL!$C$32, 5.5508, 5.5457) * CHOOSE( CONTROL!$C$15, $D$11, 100%, $F$11)</f>
        <v>5.5507999999999997</v>
      </c>
      <c r="H177" s="4">
        <f>CHOOSE( CONTROL!$C$32, 6.4701, 6.4649) * CHOOSE(CONTROL!$C$15, $D$11, 100%, $F$11)</f>
        <v>6.4701000000000004</v>
      </c>
      <c r="I177" s="8">
        <f>CHOOSE( CONTROL!$C$32, 5.5064, 5.5014) * CHOOSE(CONTROL!$C$15, $D$11, 100%, $F$11)</f>
        <v>5.5064000000000002</v>
      </c>
      <c r="J177" s="4">
        <f>CHOOSE( CONTROL!$C$32, 5.4501, 5.4451) * CHOOSE(CONTROL!$C$15, $D$11, 100%, $F$11)</f>
        <v>5.4500999999999999</v>
      </c>
      <c r="K177" s="4"/>
      <c r="L177" s="9">
        <v>29.520499999999998</v>
      </c>
      <c r="M177" s="9">
        <v>12.063700000000001</v>
      </c>
      <c r="N177" s="9">
        <v>4.9444999999999997</v>
      </c>
      <c r="O177" s="9">
        <v>0.37459999999999999</v>
      </c>
      <c r="P177" s="9">
        <v>1.2192000000000001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CONTROL!$C$32, 5.6015, 5.5962) * CHOOSE(CONTROL!$C$15, $D$11, 100%, $F$11)</f>
        <v>5.6014999999999997</v>
      </c>
      <c r="C178" s="8">
        <f>CHOOSE( CONTROL!$C$32, 5.6119, 5.6067) * CHOOSE(CONTROL!$C$15, $D$11, 100%, $F$11)</f>
        <v>5.6119000000000003</v>
      </c>
      <c r="D178" s="8">
        <f>CHOOSE( CONTROL!$C$32, 5.6323, 5.6271) * CHOOSE( CONTROL!$C$15, $D$11, 100%, $F$11)</f>
        <v>5.6322999999999999</v>
      </c>
      <c r="E178" s="12">
        <f>CHOOSE( CONTROL!$C$32, 5.6233, 5.6181) * CHOOSE( CONTROL!$C$15, $D$11, 100%, $F$11)</f>
        <v>5.6233000000000004</v>
      </c>
      <c r="F178" s="4">
        <f>CHOOSE( CONTROL!$C$32, 6.6369, 6.6316) * CHOOSE(CONTROL!$C$15, $D$11, 100%, $F$11)</f>
        <v>6.6368999999999998</v>
      </c>
      <c r="G178" s="8">
        <f>CHOOSE( CONTROL!$C$32, 5.4656, 5.4605) * CHOOSE( CONTROL!$C$15, $D$11, 100%, $F$11)</f>
        <v>5.4656000000000002</v>
      </c>
      <c r="H178" s="4">
        <f>CHOOSE( CONTROL!$C$32, 6.3932, 6.3881) * CHOOSE(CONTROL!$C$15, $D$11, 100%, $F$11)</f>
        <v>6.3932000000000002</v>
      </c>
      <c r="I178" s="8">
        <f>CHOOSE( CONTROL!$C$32, 5.424, 5.419) * CHOOSE(CONTROL!$C$15, $D$11, 100%, $F$11)</f>
        <v>5.4240000000000004</v>
      </c>
      <c r="J178" s="4">
        <f>CHOOSE( CONTROL!$C$32, 5.3626, 5.3575) * CHOOSE(CONTROL!$C$15, $D$11, 100%, $F$11)</f>
        <v>5.3625999999999996</v>
      </c>
      <c r="K178" s="4"/>
      <c r="L178" s="9">
        <v>28.568200000000001</v>
      </c>
      <c r="M178" s="9">
        <v>11.6745</v>
      </c>
      <c r="N178" s="9">
        <v>4.7850000000000001</v>
      </c>
      <c r="O178" s="9">
        <v>0.36249999999999999</v>
      </c>
      <c r="P178" s="9">
        <v>1.1798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CONTROL!$C$32, 5.8421, 5.8368) * CHOOSE(CONTROL!$C$15, $D$11, 100%, $F$11)</f>
        <v>5.8421000000000003</v>
      </c>
      <c r="C179" s="8">
        <f>CHOOSE( CONTROL!$C$32, 5.8525, 5.8472) * CHOOSE(CONTROL!$C$15, $D$11, 100%, $F$11)</f>
        <v>5.8525</v>
      </c>
      <c r="D179" s="8">
        <f>CHOOSE( CONTROL!$C$32, 5.8631, 5.8578) * CHOOSE( CONTROL!$C$15, $D$11, 100%, $F$11)</f>
        <v>5.8631000000000002</v>
      </c>
      <c r="E179" s="12">
        <f>CHOOSE( CONTROL!$C$32, 5.8577, 5.8524) * CHOOSE( CONTROL!$C$15, $D$11, 100%, $F$11)</f>
        <v>5.8577000000000004</v>
      </c>
      <c r="F179" s="4">
        <f>CHOOSE( CONTROL!$C$32, 6.8775, 6.8722) * CHOOSE(CONTROL!$C$15, $D$11, 100%, $F$11)</f>
        <v>6.8775000000000004</v>
      </c>
      <c r="G179" s="8">
        <f>CHOOSE( CONTROL!$C$32, 5.6869, 5.6818) * CHOOSE( CONTROL!$C$15, $D$11, 100%, $F$11)</f>
        <v>5.6868999999999996</v>
      </c>
      <c r="H179" s="4">
        <f>CHOOSE( CONTROL!$C$32, 6.6277, 6.6226) * CHOOSE(CONTROL!$C$15, $D$11, 100%, $F$11)</f>
        <v>6.6276999999999999</v>
      </c>
      <c r="I179" s="8">
        <f>CHOOSE( CONTROL!$C$32, 5.6581, 5.653) * CHOOSE(CONTROL!$C$15, $D$11, 100%, $F$11)</f>
        <v>5.6581000000000001</v>
      </c>
      <c r="J179" s="4">
        <f>CHOOSE( CONTROL!$C$32, 5.5931, 5.5881) * CHOOSE(CONTROL!$C$15, $D$11, 100%, $F$11)</f>
        <v>5.5930999999999997</v>
      </c>
      <c r="K179" s="4"/>
      <c r="L179" s="9">
        <v>29.520499999999998</v>
      </c>
      <c r="M179" s="9">
        <v>12.063700000000001</v>
      </c>
      <c r="N179" s="9">
        <v>4.9444999999999997</v>
      </c>
      <c r="O179" s="9">
        <v>0.37459999999999999</v>
      </c>
      <c r="P179" s="9">
        <v>1.2192000000000001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CONTROL!$C$32, 5.3919, 5.3866) * CHOOSE(CONTROL!$C$15, $D$11, 100%, $F$11)</f>
        <v>5.3918999999999997</v>
      </c>
      <c r="C180" s="8">
        <f>CHOOSE( CONTROL!$C$32, 5.4023, 5.3971) * CHOOSE(CONTROL!$C$15, $D$11, 100%, $F$11)</f>
        <v>5.4023000000000003</v>
      </c>
      <c r="D180" s="8">
        <f>CHOOSE( CONTROL!$C$32, 5.4133, 5.408) * CHOOSE( CONTROL!$C$15, $D$11, 100%, $F$11)</f>
        <v>5.4132999999999996</v>
      </c>
      <c r="E180" s="12">
        <f>CHOOSE( CONTROL!$C$32, 5.4077, 5.4024) * CHOOSE( CONTROL!$C$15, $D$11, 100%, $F$11)</f>
        <v>5.4077000000000002</v>
      </c>
      <c r="F180" s="4">
        <f>CHOOSE( CONTROL!$C$32, 6.4273, 6.4221) * CHOOSE(CONTROL!$C$15, $D$11, 100%, $F$11)</f>
        <v>6.4272999999999998</v>
      </c>
      <c r="G180" s="8">
        <f>CHOOSE( CONTROL!$C$32, 5.2486, 5.2434) * CHOOSE( CONTROL!$C$15, $D$11, 100%, $F$11)</f>
        <v>5.2485999999999997</v>
      </c>
      <c r="H180" s="4">
        <f>CHOOSE( CONTROL!$C$32, 6.1889, 6.1838) * CHOOSE(CONTROL!$C$15, $D$11, 100%, $F$11)</f>
        <v>6.1889000000000003</v>
      </c>
      <c r="I180" s="8">
        <f>CHOOSE( CONTROL!$C$32, 5.2281, 5.2231) * CHOOSE(CONTROL!$C$15, $D$11, 100%, $F$11)</f>
        <v>5.2281000000000004</v>
      </c>
      <c r="J180" s="4">
        <f>CHOOSE( CONTROL!$C$32, 5.1618, 5.1567) * CHOOSE(CONTROL!$C$15, $D$11, 100%, $F$11)</f>
        <v>5.1618000000000004</v>
      </c>
      <c r="K180" s="4"/>
      <c r="L180" s="9">
        <v>29.520499999999998</v>
      </c>
      <c r="M180" s="9">
        <v>12.063700000000001</v>
      </c>
      <c r="N180" s="9">
        <v>4.9444999999999997</v>
      </c>
      <c r="O180" s="9">
        <v>0.37459999999999999</v>
      </c>
      <c r="P180" s="9">
        <v>1.2192000000000001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CONTROL!$C$32, 5.2792, 5.2739) * CHOOSE(CONTROL!$C$15, $D$11, 100%, $F$11)</f>
        <v>5.2792000000000003</v>
      </c>
      <c r="C181" s="8">
        <f>CHOOSE( CONTROL!$C$32, 5.2896, 5.2843) * CHOOSE(CONTROL!$C$15, $D$11, 100%, $F$11)</f>
        <v>5.2896000000000001</v>
      </c>
      <c r="D181" s="8">
        <f>CHOOSE( CONTROL!$C$32, 5.3007, 5.2954) * CHOOSE( CONTROL!$C$15, $D$11, 100%, $F$11)</f>
        <v>5.3007</v>
      </c>
      <c r="E181" s="12">
        <f>CHOOSE( CONTROL!$C$32, 5.2951, 5.2898) * CHOOSE( CONTROL!$C$15, $D$11, 100%, $F$11)</f>
        <v>5.2950999999999997</v>
      </c>
      <c r="F181" s="4">
        <f>CHOOSE( CONTROL!$C$32, 6.3146, 6.3093) * CHOOSE(CONTROL!$C$15, $D$11, 100%, $F$11)</f>
        <v>6.3146000000000004</v>
      </c>
      <c r="G181" s="8">
        <f>CHOOSE( CONTROL!$C$32, 5.1389, 5.1338) * CHOOSE( CONTROL!$C$15, $D$11, 100%, $F$11)</f>
        <v>5.1388999999999996</v>
      </c>
      <c r="H181" s="4">
        <f>CHOOSE( CONTROL!$C$32, 6.079, 6.0739) * CHOOSE(CONTROL!$C$15, $D$11, 100%, $F$11)</f>
        <v>6.0789999999999997</v>
      </c>
      <c r="I181" s="8">
        <f>CHOOSE( CONTROL!$C$32, 5.1207, 5.1157) * CHOOSE(CONTROL!$C$15, $D$11, 100%, $F$11)</f>
        <v>5.1207000000000003</v>
      </c>
      <c r="J181" s="4">
        <f>CHOOSE( CONTROL!$C$32, 5.0537, 5.0487) * CHOOSE(CONTROL!$C$15, $D$11, 100%, $F$11)</f>
        <v>5.0537000000000001</v>
      </c>
      <c r="K181" s="4"/>
      <c r="L181" s="9">
        <v>28.568200000000001</v>
      </c>
      <c r="M181" s="9">
        <v>11.6745</v>
      </c>
      <c r="N181" s="9">
        <v>4.7850000000000001</v>
      </c>
      <c r="O181" s="9">
        <v>0.36249999999999999</v>
      </c>
      <c r="P181" s="9">
        <v>1.1798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5.508 * CHOOSE(CONTROL!$C$15, $D$11, 100%, $F$11)</f>
        <v>5.508</v>
      </c>
      <c r="C182" s="8">
        <f>5.5184 * CHOOSE(CONTROL!$C$15, $D$11, 100%, $F$11)</f>
        <v>5.5183999999999997</v>
      </c>
      <c r="D182" s="8">
        <f>5.5308 * CHOOSE( CONTROL!$C$15, $D$11, 100%, $F$11)</f>
        <v>5.5308000000000002</v>
      </c>
      <c r="E182" s="12">
        <f>5.5256 * CHOOSE( CONTROL!$C$15, $D$11, 100%, $F$11)</f>
        <v>5.5255999999999998</v>
      </c>
      <c r="F182" s="4">
        <f>6.5434 * CHOOSE(CONTROL!$C$15, $D$11, 100%, $F$11)</f>
        <v>6.5434000000000001</v>
      </c>
      <c r="G182" s="8">
        <f>5.3613 * CHOOSE( CONTROL!$C$15, $D$11, 100%, $F$11)</f>
        <v>5.3613</v>
      </c>
      <c r="H182" s="4">
        <f>6.3021 * CHOOSE(CONTROL!$C$15, $D$11, 100%, $F$11)</f>
        <v>6.3021000000000003</v>
      </c>
      <c r="I182" s="8">
        <f>5.3415 * CHOOSE(CONTROL!$C$15, $D$11, 100%, $F$11)</f>
        <v>5.3414999999999999</v>
      </c>
      <c r="J182" s="4">
        <f>5.273 * CHOOSE(CONTROL!$C$15, $D$11, 100%, $F$11)</f>
        <v>5.2729999999999997</v>
      </c>
      <c r="K182" s="4"/>
      <c r="L182" s="9">
        <v>28.921800000000001</v>
      </c>
      <c r="M182" s="9">
        <v>12.063700000000001</v>
      </c>
      <c r="N182" s="9">
        <v>4.9444999999999997</v>
      </c>
      <c r="O182" s="9">
        <v>0.37459999999999999</v>
      </c>
      <c r="P182" s="9">
        <v>1.2192000000000001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5.94 * CHOOSE(CONTROL!$C$15, $D$11, 100%, $F$11)</f>
        <v>5.94</v>
      </c>
      <c r="C183" s="8">
        <f>5.9504 * CHOOSE(CONTROL!$C$15, $D$11, 100%, $F$11)</f>
        <v>5.9504000000000001</v>
      </c>
      <c r="D183" s="8">
        <f>5.9342 * CHOOSE( CONTROL!$C$15, $D$11, 100%, $F$11)</f>
        <v>5.9341999999999997</v>
      </c>
      <c r="E183" s="12">
        <f>5.939 * CHOOSE( CONTROL!$C$15, $D$11, 100%, $F$11)</f>
        <v>5.9390000000000001</v>
      </c>
      <c r="F183" s="4">
        <f>6.9342 * CHOOSE(CONTROL!$C$15, $D$11, 100%, $F$11)</f>
        <v>6.9341999999999997</v>
      </c>
      <c r="G183" s="8">
        <f>5.8034 * CHOOSE( CONTROL!$C$15, $D$11, 100%, $F$11)</f>
        <v>5.8033999999999999</v>
      </c>
      <c r="H183" s="4">
        <f>6.683 * CHOOSE(CONTROL!$C$15, $D$11, 100%, $F$11)</f>
        <v>6.6829999999999998</v>
      </c>
      <c r="I183" s="8">
        <f>5.7925 * CHOOSE(CONTROL!$C$15, $D$11, 100%, $F$11)</f>
        <v>5.7925000000000004</v>
      </c>
      <c r="J183" s="4">
        <f>5.687 * CHOOSE(CONTROL!$C$15, $D$11, 100%, $F$11)</f>
        <v>5.6870000000000003</v>
      </c>
      <c r="K183" s="4"/>
      <c r="L183" s="9">
        <v>26.515499999999999</v>
      </c>
      <c r="M183" s="9">
        <v>11.6745</v>
      </c>
      <c r="N183" s="9">
        <v>4.7850000000000001</v>
      </c>
      <c r="O183" s="9">
        <v>0.36249999999999999</v>
      </c>
      <c r="P183" s="9">
        <v>1.2522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5.9292 * CHOOSE(CONTROL!$C$15, $D$11, 100%, $F$11)</f>
        <v>5.9291999999999998</v>
      </c>
      <c r="C184" s="8">
        <f>5.9396 * CHOOSE(CONTROL!$C$15, $D$11, 100%, $F$11)</f>
        <v>5.9396000000000004</v>
      </c>
      <c r="D184" s="8">
        <f>5.9257 * CHOOSE( CONTROL!$C$15, $D$11, 100%, $F$11)</f>
        <v>5.9257</v>
      </c>
      <c r="E184" s="12">
        <f>5.9297 * CHOOSE( CONTROL!$C$15, $D$11, 100%, $F$11)</f>
        <v>5.9297000000000004</v>
      </c>
      <c r="F184" s="4">
        <f>6.9234 * CHOOSE(CONTROL!$C$15, $D$11, 100%, $F$11)</f>
        <v>6.9234</v>
      </c>
      <c r="G184" s="8">
        <f>5.7946 * CHOOSE( CONTROL!$C$15, $D$11, 100%, $F$11)</f>
        <v>5.7946</v>
      </c>
      <c r="H184" s="4">
        <f>6.6725 * CHOOSE(CONTROL!$C$15, $D$11, 100%, $F$11)</f>
        <v>6.6725000000000003</v>
      </c>
      <c r="I184" s="8">
        <f>5.7898 * CHOOSE(CONTROL!$C$15, $D$11, 100%, $F$11)</f>
        <v>5.7897999999999996</v>
      </c>
      <c r="J184" s="4">
        <f>5.6766 * CHOOSE(CONTROL!$C$15, $D$11, 100%, $F$11)</f>
        <v>5.6765999999999996</v>
      </c>
      <c r="K184" s="4"/>
      <c r="L184" s="9">
        <v>27.3993</v>
      </c>
      <c r="M184" s="9">
        <v>12.063700000000001</v>
      </c>
      <c r="N184" s="9">
        <v>4.9444999999999997</v>
      </c>
      <c r="O184" s="9">
        <v>0.37459999999999999</v>
      </c>
      <c r="P184" s="9">
        <v>1.2939000000000001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6.08 * CHOOSE(CONTROL!$C$15, $D$11, 100%, $F$11)</f>
        <v>6.08</v>
      </c>
      <c r="C185" s="8">
        <f>6.0904 * CHOOSE(CONTROL!$C$15, $D$11, 100%, $F$11)</f>
        <v>6.0903999999999998</v>
      </c>
      <c r="D185" s="8">
        <f>6.0897 * CHOOSE( CONTROL!$C$15, $D$11, 100%, $F$11)</f>
        <v>6.0896999999999997</v>
      </c>
      <c r="E185" s="12">
        <f>6.0888 * CHOOSE( CONTROL!$C$15, $D$11, 100%, $F$11)</f>
        <v>6.0888</v>
      </c>
      <c r="F185" s="4">
        <f>7.1029 * CHOOSE(CONTROL!$C$15, $D$11, 100%, $F$11)</f>
        <v>7.1029</v>
      </c>
      <c r="G185" s="8">
        <f>5.9551 * CHOOSE( CONTROL!$C$15, $D$11, 100%, $F$11)</f>
        <v>5.9550999999999998</v>
      </c>
      <c r="H185" s="4">
        <f>6.8474 * CHOOSE(CONTROL!$C$15, $D$11, 100%, $F$11)</f>
        <v>6.8474000000000004</v>
      </c>
      <c r="I185" s="8">
        <f>5.9326 * CHOOSE(CONTROL!$C$15, $D$11, 100%, $F$11)</f>
        <v>5.9325999999999999</v>
      </c>
      <c r="J185" s="4">
        <f>5.8211 * CHOOSE(CONTROL!$C$15, $D$11, 100%, $F$11)</f>
        <v>5.8211000000000004</v>
      </c>
      <c r="K185" s="4"/>
      <c r="L185" s="9">
        <v>27.3993</v>
      </c>
      <c r="M185" s="9">
        <v>12.063700000000001</v>
      </c>
      <c r="N185" s="9">
        <v>4.9444999999999997</v>
      </c>
      <c r="O185" s="9">
        <v>0.37459999999999999</v>
      </c>
      <c r="P185" s="9">
        <v>1.2939000000000001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5.6872 * CHOOSE(CONTROL!$C$15, $D$11, 100%, $F$11)</f>
        <v>5.6871999999999998</v>
      </c>
      <c r="C186" s="8">
        <f>5.6977 * CHOOSE(CONTROL!$C$15, $D$11, 100%, $F$11)</f>
        <v>5.6977000000000002</v>
      </c>
      <c r="D186" s="8">
        <f>5.6992 * CHOOSE( CONTROL!$C$15, $D$11, 100%, $F$11)</f>
        <v>5.6992000000000003</v>
      </c>
      <c r="E186" s="12">
        <f>5.6975 * CHOOSE( CONTROL!$C$15, $D$11, 100%, $F$11)</f>
        <v>5.6974999999999998</v>
      </c>
      <c r="F186" s="4">
        <f>6.7023 * CHOOSE(CONTROL!$C$15, $D$11, 100%, $F$11)</f>
        <v>6.7023000000000001</v>
      </c>
      <c r="G186" s="8">
        <f>5.5721 * CHOOSE( CONTROL!$C$15, $D$11, 100%, $F$11)</f>
        <v>5.5720999999999998</v>
      </c>
      <c r="H186" s="4">
        <f>6.457 * CHOOSE(CONTROL!$C$15, $D$11, 100%, $F$11)</f>
        <v>6.4569999999999999</v>
      </c>
      <c r="I186" s="8">
        <f>5.5451 * CHOOSE(CONTROL!$C$15, $D$11, 100%, $F$11)</f>
        <v>5.5450999999999997</v>
      </c>
      <c r="J186" s="4">
        <f>5.4448 * CHOOSE(CONTROL!$C$15, $D$11, 100%, $F$11)</f>
        <v>5.4447999999999999</v>
      </c>
      <c r="K186" s="4"/>
      <c r="L186" s="9">
        <v>24.747800000000002</v>
      </c>
      <c r="M186" s="9">
        <v>10.8962</v>
      </c>
      <c r="N186" s="9">
        <v>4.4660000000000002</v>
      </c>
      <c r="O186" s="9">
        <v>0.33829999999999999</v>
      </c>
      <c r="P186" s="9">
        <v>1.1687000000000001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5.5663 * CHOOSE(CONTROL!$C$15, $D$11, 100%, $F$11)</f>
        <v>5.5663</v>
      </c>
      <c r="C187" s="8">
        <f>5.5767 * CHOOSE(CONTROL!$C$15, $D$11, 100%, $F$11)</f>
        <v>5.5766999999999998</v>
      </c>
      <c r="D187" s="8">
        <f>5.5577 * CHOOSE( CONTROL!$C$15, $D$11, 100%, $F$11)</f>
        <v>5.5576999999999996</v>
      </c>
      <c r="E187" s="12">
        <f>5.5635 * CHOOSE( CONTROL!$C$15, $D$11, 100%, $F$11)</f>
        <v>5.5635000000000003</v>
      </c>
      <c r="F187" s="4">
        <f>6.5652 * CHOOSE(CONTROL!$C$15, $D$11, 100%, $F$11)</f>
        <v>6.5651999999999999</v>
      </c>
      <c r="G187" s="8">
        <f>5.4335 * CHOOSE( CONTROL!$C$15, $D$11, 100%, $F$11)</f>
        <v>5.4335000000000004</v>
      </c>
      <c r="H187" s="4">
        <f>6.3233 * CHOOSE(CONTROL!$C$15, $D$11, 100%, $F$11)</f>
        <v>6.3232999999999997</v>
      </c>
      <c r="I187" s="8">
        <f>5.3897 * CHOOSE(CONTROL!$C$15, $D$11, 100%, $F$11)</f>
        <v>5.3897000000000004</v>
      </c>
      <c r="J187" s="4">
        <f>5.3288 * CHOOSE(CONTROL!$C$15, $D$11, 100%, $F$11)</f>
        <v>5.3288000000000002</v>
      </c>
      <c r="K187" s="4"/>
      <c r="L187" s="9">
        <v>27.3993</v>
      </c>
      <c r="M187" s="9">
        <v>12.063700000000001</v>
      </c>
      <c r="N187" s="9">
        <v>4.9444999999999997</v>
      </c>
      <c r="O187" s="9">
        <v>0.37459999999999999</v>
      </c>
      <c r="P187" s="9">
        <v>1.2939000000000001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5.6508 * CHOOSE(CONTROL!$C$15, $D$11, 100%, $F$11)</f>
        <v>5.6508000000000003</v>
      </c>
      <c r="C188" s="8">
        <f>5.6612 * CHOOSE(CONTROL!$C$15, $D$11, 100%, $F$11)</f>
        <v>5.6612</v>
      </c>
      <c r="D188" s="8">
        <f>5.6653 * CHOOSE( CONTROL!$C$15, $D$11, 100%, $F$11)</f>
        <v>5.6653000000000002</v>
      </c>
      <c r="E188" s="12">
        <f>5.6628 * CHOOSE( CONTROL!$C$15, $D$11, 100%, $F$11)</f>
        <v>5.6627999999999998</v>
      </c>
      <c r="F188" s="4">
        <f>6.6581 * CHOOSE(CONTROL!$C$15, $D$11, 100%, $F$11)</f>
        <v>6.6581000000000001</v>
      </c>
      <c r="G188" s="8">
        <f>5.5042 * CHOOSE( CONTROL!$C$15, $D$11, 100%, $F$11)</f>
        <v>5.5042</v>
      </c>
      <c r="H188" s="4">
        <f>6.4138 * CHOOSE(CONTROL!$C$15, $D$11, 100%, $F$11)</f>
        <v>6.4138000000000002</v>
      </c>
      <c r="I188" s="8">
        <f>5.4608 * CHOOSE(CONTROL!$C$15, $D$11, 100%, $F$11)</f>
        <v>5.4607999999999999</v>
      </c>
      <c r="J188" s="4">
        <f>5.4098 * CHOOSE(CONTROL!$C$15, $D$11, 100%, $F$11)</f>
        <v>5.4097999999999997</v>
      </c>
      <c r="K188" s="4"/>
      <c r="L188" s="9">
        <v>27.988800000000001</v>
      </c>
      <c r="M188" s="9">
        <v>11.6745</v>
      </c>
      <c r="N188" s="9">
        <v>4.7850000000000001</v>
      </c>
      <c r="O188" s="9">
        <v>0.36249999999999999</v>
      </c>
      <c r="P188" s="9">
        <v>1.1798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CONTROL!$C$32, 5.8065, 5.8012) * CHOOSE(CONTROL!$C$15, $D$11, 100%, $F$11)</f>
        <v>5.8064999999999998</v>
      </c>
      <c r="C189" s="8">
        <f>CHOOSE( CONTROL!$C$32, 5.8169, 5.8117) * CHOOSE(CONTROL!$C$15, $D$11, 100%, $F$11)</f>
        <v>5.8169000000000004</v>
      </c>
      <c r="D189" s="8">
        <f>CHOOSE( CONTROL!$C$32, 5.8298, 5.8245) * CHOOSE( CONTROL!$C$15, $D$11, 100%, $F$11)</f>
        <v>5.8297999999999996</v>
      </c>
      <c r="E189" s="12">
        <f>CHOOSE( CONTROL!$C$32, 5.8235, 5.8183) * CHOOSE( CONTROL!$C$15, $D$11, 100%, $F$11)</f>
        <v>5.8235000000000001</v>
      </c>
      <c r="F189" s="4">
        <f>CHOOSE( CONTROL!$C$32, 6.8294, 6.8241) * CHOOSE(CONTROL!$C$15, $D$11, 100%, $F$11)</f>
        <v>6.8293999999999997</v>
      </c>
      <c r="G189" s="8">
        <f>CHOOSE( CONTROL!$C$32, 5.6616, 5.6565) * CHOOSE( CONTROL!$C$15, $D$11, 100%, $F$11)</f>
        <v>5.6616</v>
      </c>
      <c r="H189" s="4">
        <f>CHOOSE( CONTROL!$C$32, 6.5809, 6.5757) * CHOOSE(CONTROL!$C$15, $D$11, 100%, $F$11)</f>
        <v>6.5808999999999997</v>
      </c>
      <c r="I189" s="8">
        <f>CHOOSE( CONTROL!$C$32, 5.6153, 5.6103) * CHOOSE(CONTROL!$C$15, $D$11, 100%, $F$11)</f>
        <v>5.6153000000000004</v>
      </c>
      <c r="J189" s="4">
        <f>CHOOSE( CONTROL!$C$32, 5.559, 5.554) * CHOOSE(CONTROL!$C$15, $D$11, 100%, $F$11)</f>
        <v>5.5590000000000002</v>
      </c>
      <c r="K189" s="4"/>
      <c r="L189" s="9">
        <v>29.520499999999998</v>
      </c>
      <c r="M189" s="9">
        <v>12.063700000000001</v>
      </c>
      <c r="N189" s="9">
        <v>4.9444999999999997</v>
      </c>
      <c r="O189" s="9">
        <v>0.37459999999999999</v>
      </c>
      <c r="P189" s="9">
        <v>1.2192000000000001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CONTROL!$C$32, 5.7133, 5.708) * CHOOSE(CONTROL!$C$15, $D$11, 100%, $F$11)</f>
        <v>5.7133000000000003</v>
      </c>
      <c r="C190" s="8">
        <f>CHOOSE( CONTROL!$C$32, 5.7237, 5.7185) * CHOOSE(CONTROL!$C$15, $D$11, 100%, $F$11)</f>
        <v>5.7237</v>
      </c>
      <c r="D190" s="8">
        <f>CHOOSE( CONTROL!$C$32, 5.7442, 5.7389) * CHOOSE( CONTROL!$C$15, $D$11, 100%, $F$11)</f>
        <v>5.7442000000000002</v>
      </c>
      <c r="E190" s="12">
        <f>CHOOSE( CONTROL!$C$32, 5.7352, 5.7299) * CHOOSE( CONTROL!$C$15, $D$11, 100%, $F$11)</f>
        <v>5.7351999999999999</v>
      </c>
      <c r="F190" s="4">
        <f>CHOOSE( CONTROL!$C$32, 6.7487, 6.7435) * CHOOSE(CONTROL!$C$15, $D$11, 100%, $F$11)</f>
        <v>6.7487000000000004</v>
      </c>
      <c r="G190" s="8">
        <f>CHOOSE( CONTROL!$C$32, 5.5746, 5.5695) * CHOOSE( CONTROL!$C$15, $D$11, 100%, $F$11)</f>
        <v>5.5746000000000002</v>
      </c>
      <c r="H190" s="4">
        <f>CHOOSE( CONTROL!$C$32, 6.5022, 6.4971) * CHOOSE(CONTROL!$C$15, $D$11, 100%, $F$11)</f>
        <v>6.5022000000000002</v>
      </c>
      <c r="I190" s="8">
        <f>CHOOSE( CONTROL!$C$32, 5.5312, 5.5262) * CHOOSE(CONTROL!$C$15, $D$11, 100%, $F$11)</f>
        <v>5.5312000000000001</v>
      </c>
      <c r="J190" s="4">
        <f>CHOOSE( CONTROL!$C$32, 5.4697, 5.4647) * CHOOSE(CONTROL!$C$15, $D$11, 100%, $F$11)</f>
        <v>5.4696999999999996</v>
      </c>
      <c r="K190" s="4"/>
      <c r="L190" s="9">
        <v>28.568200000000001</v>
      </c>
      <c r="M190" s="9">
        <v>11.6745</v>
      </c>
      <c r="N190" s="9">
        <v>4.7850000000000001</v>
      </c>
      <c r="O190" s="9">
        <v>0.36249999999999999</v>
      </c>
      <c r="P190" s="9">
        <v>1.1798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CONTROL!$C$32, 5.9587, 5.9534) * CHOOSE(CONTROL!$C$15, $D$11, 100%, $F$11)</f>
        <v>5.9587000000000003</v>
      </c>
      <c r="C191" s="8">
        <f>CHOOSE( CONTROL!$C$32, 5.9691, 5.9639) * CHOOSE(CONTROL!$C$15, $D$11, 100%, $F$11)</f>
        <v>5.9691000000000001</v>
      </c>
      <c r="D191" s="8">
        <f>CHOOSE( CONTROL!$C$32, 5.9797, 5.9745) * CHOOSE( CONTROL!$C$15, $D$11, 100%, $F$11)</f>
        <v>5.9797000000000002</v>
      </c>
      <c r="E191" s="12">
        <f>CHOOSE( CONTROL!$C$32, 5.9743, 5.9691) * CHOOSE( CONTROL!$C$15, $D$11, 100%, $F$11)</f>
        <v>5.9743000000000004</v>
      </c>
      <c r="F191" s="4">
        <f>CHOOSE( CONTROL!$C$32, 6.9941, 6.9889) * CHOOSE(CONTROL!$C$15, $D$11, 100%, $F$11)</f>
        <v>6.9941000000000004</v>
      </c>
      <c r="G191" s="8">
        <f>CHOOSE( CONTROL!$C$32, 5.8006, 5.7955) * CHOOSE( CONTROL!$C$15, $D$11, 100%, $F$11)</f>
        <v>5.8006000000000002</v>
      </c>
      <c r="H191" s="4">
        <f>CHOOSE( CONTROL!$C$32, 6.7414, 6.7363) * CHOOSE(CONTROL!$C$15, $D$11, 100%, $F$11)</f>
        <v>6.7413999999999996</v>
      </c>
      <c r="I191" s="8">
        <f>CHOOSE( CONTROL!$C$32, 5.7699, 5.7648) * CHOOSE(CONTROL!$C$15, $D$11, 100%, $F$11)</f>
        <v>5.7698999999999998</v>
      </c>
      <c r="J191" s="4">
        <f>CHOOSE( CONTROL!$C$32, 5.7049, 5.6998) * CHOOSE(CONTROL!$C$15, $D$11, 100%, $F$11)</f>
        <v>5.7049000000000003</v>
      </c>
      <c r="K191" s="4"/>
      <c r="L191" s="9">
        <v>29.520499999999998</v>
      </c>
      <c r="M191" s="9">
        <v>12.063700000000001</v>
      </c>
      <c r="N191" s="9">
        <v>4.9444999999999997</v>
      </c>
      <c r="O191" s="9">
        <v>0.37459999999999999</v>
      </c>
      <c r="P191" s="9">
        <v>1.2192000000000001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CONTROL!$C$32, 5.4995, 5.4943) * CHOOSE(CONTROL!$C$15, $D$11, 100%, $F$11)</f>
        <v>5.4995000000000003</v>
      </c>
      <c r="C192" s="8">
        <f>CHOOSE( CONTROL!$C$32, 5.51, 5.5047) * CHOOSE(CONTROL!$C$15, $D$11, 100%, $F$11)</f>
        <v>5.51</v>
      </c>
      <c r="D192" s="8">
        <f>CHOOSE( CONTROL!$C$32, 5.5209, 5.5156) * CHOOSE( CONTROL!$C$15, $D$11, 100%, $F$11)</f>
        <v>5.5209000000000001</v>
      </c>
      <c r="E192" s="12">
        <f>CHOOSE( CONTROL!$C$32, 5.5153, 5.5101) * CHOOSE( CONTROL!$C$15, $D$11, 100%, $F$11)</f>
        <v>5.5152999999999999</v>
      </c>
      <c r="F192" s="4">
        <f>CHOOSE( CONTROL!$C$32, 6.535, 6.5297) * CHOOSE(CONTROL!$C$15, $D$11, 100%, $F$11)</f>
        <v>6.5350000000000001</v>
      </c>
      <c r="G192" s="8">
        <f>CHOOSE( CONTROL!$C$32, 5.3535, 5.3484) * CHOOSE( CONTROL!$C$15, $D$11, 100%, $F$11)</f>
        <v>5.3535000000000004</v>
      </c>
      <c r="H192" s="4">
        <f>CHOOSE( CONTROL!$C$32, 6.2938, 6.2887) * CHOOSE(CONTROL!$C$15, $D$11, 100%, $F$11)</f>
        <v>6.2938000000000001</v>
      </c>
      <c r="I192" s="8">
        <f>CHOOSE( CONTROL!$C$32, 5.3313, 5.3262) * CHOOSE(CONTROL!$C$15, $D$11, 100%, $F$11)</f>
        <v>5.3312999999999997</v>
      </c>
      <c r="J192" s="4">
        <f>CHOOSE( CONTROL!$C$32, 5.2649, 5.2599) * CHOOSE(CONTROL!$C$15, $D$11, 100%, $F$11)</f>
        <v>5.2648999999999999</v>
      </c>
      <c r="K192" s="4"/>
      <c r="L192" s="9">
        <v>29.520499999999998</v>
      </c>
      <c r="M192" s="9">
        <v>12.063700000000001</v>
      </c>
      <c r="N192" s="9">
        <v>4.9444999999999997</v>
      </c>
      <c r="O192" s="9">
        <v>0.37459999999999999</v>
      </c>
      <c r="P192" s="9">
        <v>1.2192000000000001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CONTROL!$C$32, 5.3845, 5.3793) * CHOOSE(CONTROL!$C$15, $D$11, 100%, $F$11)</f>
        <v>5.3845000000000001</v>
      </c>
      <c r="C193" s="8">
        <f>CHOOSE( CONTROL!$C$32, 5.395, 5.3897) * CHOOSE(CONTROL!$C$15, $D$11, 100%, $F$11)</f>
        <v>5.3949999999999996</v>
      </c>
      <c r="D193" s="8">
        <f>CHOOSE( CONTROL!$C$32, 5.4061, 5.4008) * CHOOSE( CONTROL!$C$15, $D$11, 100%, $F$11)</f>
        <v>5.4061000000000003</v>
      </c>
      <c r="E193" s="12">
        <f>CHOOSE( CONTROL!$C$32, 5.4005, 5.3952) * CHOOSE( CONTROL!$C$15, $D$11, 100%, $F$11)</f>
        <v>5.4005000000000001</v>
      </c>
      <c r="F193" s="4">
        <f>CHOOSE( CONTROL!$C$32, 6.42, 6.4147) * CHOOSE(CONTROL!$C$15, $D$11, 100%, $F$11)</f>
        <v>6.42</v>
      </c>
      <c r="G193" s="8">
        <f>CHOOSE( CONTROL!$C$32, 5.2416, 5.2365) * CHOOSE( CONTROL!$C$15, $D$11, 100%, $F$11)</f>
        <v>5.2416</v>
      </c>
      <c r="H193" s="4">
        <f>CHOOSE( CONTROL!$C$32, 6.1818, 6.1766) * CHOOSE(CONTROL!$C$15, $D$11, 100%, $F$11)</f>
        <v>6.1818</v>
      </c>
      <c r="I193" s="8">
        <f>CHOOSE( CONTROL!$C$32, 5.2217, 5.2167) * CHOOSE(CONTROL!$C$15, $D$11, 100%, $F$11)</f>
        <v>5.2217000000000002</v>
      </c>
      <c r="J193" s="4">
        <f>CHOOSE( CONTROL!$C$32, 5.1547, 5.1497) * CHOOSE(CONTROL!$C$15, $D$11, 100%, $F$11)</f>
        <v>5.1547000000000001</v>
      </c>
      <c r="K193" s="4"/>
      <c r="L193" s="9">
        <v>28.568200000000001</v>
      </c>
      <c r="M193" s="9">
        <v>11.6745</v>
      </c>
      <c r="N193" s="9">
        <v>4.7850000000000001</v>
      </c>
      <c r="O193" s="9">
        <v>0.36249999999999999</v>
      </c>
      <c r="P193" s="9">
        <v>1.1798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5.618 * CHOOSE(CONTROL!$C$15, $D$11, 100%, $F$11)</f>
        <v>5.6180000000000003</v>
      </c>
      <c r="C194" s="8">
        <f>5.6285 * CHOOSE(CONTROL!$C$15, $D$11, 100%, $F$11)</f>
        <v>5.6284999999999998</v>
      </c>
      <c r="D194" s="8">
        <f>5.6408 * CHOOSE( CONTROL!$C$15, $D$11, 100%, $F$11)</f>
        <v>5.6407999999999996</v>
      </c>
      <c r="E194" s="12">
        <f>5.6356 * CHOOSE( CONTROL!$C$15, $D$11, 100%, $F$11)</f>
        <v>5.6356000000000002</v>
      </c>
      <c r="F194" s="4">
        <f>6.6535 * CHOOSE(CONTROL!$C$15, $D$11, 100%, $F$11)</f>
        <v>6.6535000000000002</v>
      </c>
      <c r="G194" s="8">
        <f>5.4686 * CHOOSE( CONTROL!$C$15, $D$11, 100%, $F$11)</f>
        <v>5.4686000000000003</v>
      </c>
      <c r="H194" s="4">
        <f>6.4094 * CHOOSE(CONTROL!$C$15, $D$11, 100%, $F$11)</f>
        <v>6.4093999999999998</v>
      </c>
      <c r="I194" s="8">
        <f>5.447 * CHOOSE(CONTROL!$C$15, $D$11, 100%, $F$11)</f>
        <v>5.4470000000000001</v>
      </c>
      <c r="J194" s="4">
        <f>5.3784 * CHOOSE(CONTROL!$C$15, $D$11, 100%, $F$11)</f>
        <v>5.3784000000000001</v>
      </c>
      <c r="K194" s="4"/>
      <c r="L194" s="9">
        <v>28.921800000000001</v>
      </c>
      <c r="M194" s="9">
        <v>12.063700000000001</v>
      </c>
      <c r="N194" s="9">
        <v>4.9444999999999997</v>
      </c>
      <c r="O194" s="9">
        <v>0.37459999999999999</v>
      </c>
      <c r="P194" s="9">
        <v>1.2192000000000001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6.0587 * CHOOSE(CONTROL!$C$15, $D$11, 100%, $F$11)</f>
        <v>6.0587</v>
      </c>
      <c r="C195" s="8">
        <f>6.0691 * CHOOSE(CONTROL!$C$15, $D$11, 100%, $F$11)</f>
        <v>6.0690999999999997</v>
      </c>
      <c r="D195" s="8">
        <f>6.0529 * CHOOSE( CONTROL!$C$15, $D$11, 100%, $F$11)</f>
        <v>6.0529000000000002</v>
      </c>
      <c r="E195" s="12">
        <f>6.0577 * CHOOSE( CONTROL!$C$15, $D$11, 100%, $F$11)</f>
        <v>6.0576999999999996</v>
      </c>
      <c r="F195" s="4">
        <f>7.0529 * CHOOSE(CONTROL!$C$15, $D$11, 100%, $F$11)</f>
        <v>7.0529000000000002</v>
      </c>
      <c r="G195" s="8">
        <f>5.9191 * CHOOSE( CONTROL!$C$15, $D$11, 100%, $F$11)</f>
        <v>5.9191000000000003</v>
      </c>
      <c r="H195" s="4">
        <f>6.7987 * CHOOSE(CONTROL!$C$15, $D$11, 100%, $F$11)</f>
        <v>6.7987000000000002</v>
      </c>
      <c r="I195" s="8">
        <f>5.9063 * CHOOSE(CONTROL!$C$15, $D$11, 100%, $F$11)</f>
        <v>5.9062999999999999</v>
      </c>
      <c r="J195" s="4">
        <f>5.8007 * CHOOSE(CONTROL!$C$15, $D$11, 100%, $F$11)</f>
        <v>5.8007</v>
      </c>
      <c r="K195" s="4"/>
      <c r="L195" s="9">
        <v>26.515499999999999</v>
      </c>
      <c r="M195" s="9">
        <v>11.6745</v>
      </c>
      <c r="N195" s="9">
        <v>4.7850000000000001</v>
      </c>
      <c r="O195" s="9">
        <v>0.36249999999999999</v>
      </c>
      <c r="P195" s="9">
        <v>1.2522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6.0477 * CHOOSE(CONTROL!$C$15, $D$11, 100%, $F$11)</f>
        <v>6.0476999999999999</v>
      </c>
      <c r="C196" s="8">
        <f>6.0581 * CHOOSE(CONTROL!$C$15, $D$11, 100%, $F$11)</f>
        <v>6.0580999999999996</v>
      </c>
      <c r="D196" s="8">
        <f>6.0442 * CHOOSE( CONTROL!$C$15, $D$11, 100%, $F$11)</f>
        <v>6.0442</v>
      </c>
      <c r="E196" s="12">
        <f>6.0482 * CHOOSE( CONTROL!$C$15, $D$11, 100%, $F$11)</f>
        <v>6.0481999999999996</v>
      </c>
      <c r="F196" s="4">
        <f>7.0419 * CHOOSE(CONTROL!$C$15, $D$11, 100%, $F$11)</f>
        <v>7.0419</v>
      </c>
      <c r="G196" s="8">
        <f>5.9101 * CHOOSE( CONTROL!$C$15, $D$11, 100%, $F$11)</f>
        <v>5.9100999999999999</v>
      </c>
      <c r="H196" s="4">
        <f>6.788 * CHOOSE(CONTROL!$C$15, $D$11, 100%, $F$11)</f>
        <v>6.7880000000000003</v>
      </c>
      <c r="I196" s="8">
        <f>5.9033 * CHOOSE(CONTROL!$C$15, $D$11, 100%, $F$11)</f>
        <v>5.9032999999999998</v>
      </c>
      <c r="J196" s="4">
        <f>5.7901 * CHOOSE(CONTROL!$C$15, $D$11, 100%, $F$11)</f>
        <v>5.7900999999999998</v>
      </c>
      <c r="K196" s="4"/>
      <c r="L196" s="9">
        <v>27.3993</v>
      </c>
      <c r="M196" s="9">
        <v>12.063700000000001</v>
      </c>
      <c r="N196" s="9">
        <v>4.9444999999999997</v>
      </c>
      <c r="O196" s="9">
        <v>0.37459999999999999</v>
      </c>
      <c r="P196" s="9">
        <v>1.2939000000000001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6.2015 * CHOOSE(CONTROL!$C$15, $D$11, 100%, $F$11)</f>
        <v>6.2015000000000002</v>
      </c>
      <c r="C197" s="8">
        <f>6.2119 * CHOOSE(CONTROL!$C$15, $D$11, 100%, $F$11)</f>
        <v>6.2119</v>
      </c>
      <c r="D197" s="8">
        <f>6.2112 * CHOOSE( CONTROL!$C$15, $D$11, 100%, $F$11)</f>
        <v>6.2111999999999998</v>
      </c>
      <c r="E197" s="12">
        <f>6.2103 * CHOOSE( CONTROL!$C$15, $D$11, 100%, $F$11)</f>
        <v>6.2103000000000002</v>
      </c>
      <c r="F197" s="4">
        <f>7.2244 * CHOOSE(CONTROL!$C$15, $D$11, 100%, $F$11)</f>
        <v>7.2244000000000002</v>
      </c>
      <c r="G197" s="8">
        <f>6.0736 * CHOOSE( CONTROL!$C$15, $D$11, 100%, $F$11)</f>
        <v>6.0735999999999999</v>
      </c>
      <c r="H197" s="4">
        <f>6.9659 * CHOOSE(CONTROL!$C$15, $D$11, 100%, $F$11)</f>
        <v>6.9659000000000004</v>
      </c>
      <c r="I197" s="8">
        <f>6.049 * CHOOSE(CONTROL!$C$15, $D$11, 100%, $F$11)</f>
        <v>6.0490000000000004</v>
      </c>
      <c r="J197" s="4">
        <f>5.9375 * CHOOSE(CONTROL!$C$15, $D$11, 100%, $F$11)</f>
        <v>5.9375</v>
      </c>
      <c r="K197" s="4"/>
      <c r="L197" s="9">
        <v>27.3993</v>
      </c>
      <c r="M197" s="9">
        <v>12.063700000000001</v>
      </c>
      <c r="N197" s="9">
        <v>4.9444999999999997</v>
      </c>
      <c r="O197" s="9">
        <v>0.37459999999999999</v>
      </c>
      <c r="P197" s="9">
        <v>1.2939000000000001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5.8009 * CHOOSE(CONTROL!$C$15, $D$11, 100%, $F$11)</f>
        <v>5.8009000000000004</v>
      </c>
      <c r="C198" s="8">
        <f>5.8113 * CHOOSE(CONTROL!$C$15, $D$11, 100%, $F$11)</f>
        <v>5.8113000000000001</v>
      </c>
      <c r="D198" s="8">
        <f>5.8128 * CHOOSE( CONTROL!$C$15, $D$11, 100%, $F$11)</f>
        <v>5.8128000000000002</v>
      </c>
      <c r="E198" s="12">
        <f>5.8111 * CHOOSE( CONTROL!$C$15, $D$11, 100%, $F$11)</f>
        <v>5.8110999999999997</v>
      </c>
      <c r="F198" s="4">
        <f>6.816 * CHOOSE(CONTROL!$C$15, $D$11, 100%, $F$11)</f>
        <v>6.8159999999999998</v>
      </c>
      <c r="G198" s="8">
        <f>5.6829 * CHOOSE( CONTROL!$C$15, $D$11, 100%, $F$11)</f>
        <v>5.6829000000000001</v>
      </c>
      <c r="H198" s="4">
        <f>6.5678 * CHOOSE(CONTROL!$C$15, $D$11, 100%, $F$11)</f>
        <v>6.5678000000000001</v>
      </c>
      <c r="I198" s="8">
        <f>5.6541 * CHOOSE(CONTROL!$C$15, $D$11, 100%, $F$11)</f>
        <v>5.6540999999999997</v>
      </c>
      <c r="J198" s="4">
        <f>5.5536 * CHOOSE(CONTROL!$C$15, $D$11, 100%, $F$11)</f>
        <v>5.5536000000000003</v>
      </c>
      <c r="K198" s="4"/>
      <c r="L198" s="9">
        <v>24.747800000000002</v>
      </c>
      <c r="M198" s="9">
        <v>10.8962</v>
      </c>
      <c r="N198" s="9">
        <v>4.4660000000000002</v>
      </c>
      <c r="O198" s="9">
        <v>0.33829999999999999</v>
      </c>
      <c r="P198" s="9">
        <v>1.1687000000000001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5.6775 * CHOOSE(CONTROL!$C$15, $D$11, 100%, $F$11)</f>
        <v>5.6775000000000002</v>
      </c>
      <c r="C199" s="8">
        <f>5.6879 * CHOOSE(CONTROL!$C$15, $D$11, 100%, $F$11)</f>
        <v>5.6879</v>
      </c>
      <c r="D199" s="8">
        <f>5.669 * CHOOSE( CONTROL!$C$15, $D$11, 100%, $F$11)</f>
        <v>5.6689999999999996</v>
      </c>
      <c r="E199" s="12">
        <f>5.6748 * CHOOSE( CONTROL!$C$15, $D$11, 100%, $F$11)</f>
        <v>5.6748000000000003</v>
      </c>
      <c r="F199" s="4">
        <f>6.6764 * CHOOSE(CONTROL!$C$15, $D$11, 100%, $F$11)</f>
        <v>6.6764000000000001</v>
      </c>
      <c r="G199" s="8">
        <f>5.5419 * CHOOSE( CONTROL!$C$15, $D$11, 100%, $F$11)</f>
        <v>5.5419</v>
      </c>
      <c r="H199" s="4">
        <f>6.4317 * CHOOSE(CONTROL!$C$15, $D$11, 100%, $F$11)</f>
        <v>6.4317000000000002</v>
      </c>
      <c r="I199" s="8">
        <f>5.4963 * CHOOSE(CONTROL!$C$15, $D$11, 100%, $F$11)</f>
        <v>5.4962999999999997</v>
      </c>
      <c r="J199" s="4">
        <f>5.4354 * CHOOSE(CONTROL!$C$15, $D$11, 100%, $F$11)</f>
        <v>5.4353999999999996</v>
      </c>
      <c r="K199" s="4"/>
      <c r="L199" s="9">
        <v>27.3993</v>
      </c>
      <c r="M199" s="9">
        <v>12.063700000000001</v>
      </c>
      <c r="N199" s="9">
        <v>4.9444999999999997</v>
      </c>
      <c r="O199" s="9">
        <v>0.37459999999999999</v>
      </c>
      <c r="P199" s="9">
        <v>1.2939000000000001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5.7637 * CHOOSE(CONTROL!$C$15, $D$11, 100%, $F$11)</f>
        <v>5.7637</v>
      </c>
      <c r="C200" s="8">
        <f>5.7741 * CHOOSE(CONTROL!$C$15, $D$11, 100%, $F$11)</f>
        <v>5.7740999999999998</v>
      </c>
      <c r="D200" s="8">
        <f>5.7782 * CHOOSE( CONTROL!$C$15, $D$11, 100%, $F$11)</f>
        <v>5.7782</v>
      </c>
      <c r="E200" s="12">
        <f>5.7757 * CHOOSE( CONTROL!$C$15, $D$11, 100%, $F$11)</f>
        <v>5.7756999999999996</v>
      </c>
      <c r="F200" s="4">
        <f>6.771 * CHOOSE(CONTROL!$C$15, $D$11, 100%, $F$11)</f>
        <v>6.7709999999999999</v>
      </c>
      <c r="G200" s="8">
        <f>5.6143 * CHOOSE( CONTROL!$C$15, $D$11, 100%, $F$11)</f>
        <v>5.6143000000000001</v>
      </c>
      <c r="H200" s="4">
        <f>6.5239 * CHOOSE(CONTROL!$C$15, $D$11, 100%, $F$11)</f>
        <v>6.5239000000000003</v>
      </c>
      <c r="I200" s="8">
        <f>5.569 * CHOOSE(CONTROL!$C$15, $D$11, 100%, $F$11)</f>
        <v>5.569</v>
      </c>
      <c r="J200" s="4">
        <f>5.518 * CHOOSE(CONTROL!$C$15, $D$11, 100%, $F$11)</f>
        <v>5.5179999999999998</v>
      </c>
      <c r="K200" s="4"/>
      <c r="L200" s="9">
        <v>27.988800000000001</v>
      </c>
      <c r="M200" s="9">
        <v>11.6745</v>
      </c>
      <c r="N200" s="9">
        <v>4.7850000000000001</v>
      </c>
      <c r="O200" s="9">
        <v>0.36249999999999999</v>
      </c>
      <c r="P200" s="9">
        <v>1.1798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CONTROL!$C$32, 5.9224, 5.9172) * CHOOSE(CONTROL!$C$15, $D$11, 100%, $F$11)</f>
        <v>5.9223999999999997</v>
      </c>
      <c r="C201" s="8">
        <f>CHOOSE( CONTROL!$C$32, 5.9329, 5.9276) * CHOOSE(CONTROL!$C$15, $D$11, 100%, $F$11)</f>
        <v>5.9329000000000001</v>
      </c>
      <c r="D201" s="8">
        <f>CHOOSE( CONTROL!$C$32, 5.9457, 5.9404) * CHOOSE( CONTROL!$C$15, $D$11, 100%, $F$11)</f>
        <v>5.9457000000000004</v>
      </c>
      <c r="E201" s="12">
        <f>CHOOSE( CONTROL!$C$32, 5.9395, 5.9342) * CHOOSE( CONTROL!$C$15, $D$11, 100%, $F$11)</f>
        <v>5.9394999999999998</v>
      </c>
      <c r="F201" s="4">
        <f>CHOOSE( CONTROL!$C$32, 6.9453, 6.9401) * CHOOSE(CONTROL!$C$15, $D$11, 100%, $F$11)</f>
        <v>6.9452999999999996</v>
      </c>
      <c r="G201" s="8">
        <f>CHOOSE( CONTROL!$C$32, 5.7746, 5.7695) * CHOOSE( CONTROL!$C$15, $D$11, 100%, $F$11)</f>
        <v>5.7746000000000004</v>
      </c>
      <c r="H201" s="4">
        <f>CHOOSE( CONTROL!$C$32, 6.6939, 6.6887) * CHOOSE(CONTROL!$C$15, $D$11, 100%, $F$11)</f>
        <v>6.6939000000000002</v>
      </c>
      <c r="I201" s="8">
        <f>CHOOSE( CONTROL!$C$32, 5.7265, 5.7214) * CHOOSE(CONTROL!$C$15, $D$11, 100%, $F$11)</f>
        <v>5.7264999999999997</v>
      </c>
      <c r="J201" s="4">
        <f>CHOOSE( CONTROL!$C$32, 5.6701, 5.6651) * CHOOSE(CONTROL!$C$15, $D$11, 100%, $F$11)</f>
        <v>5.6700999999999997</v>
      </c>
      <c r="K201" s="4"/>
      <c r="L201" s="9">
        <v>29.520499999999998</v>
      </c>
      <c r="M201" s="9">
        <v>12.063700000000001</v>
      </c>
      <c r="N201" s="9">
        <v>4.9444999999999997</v>
      </c>
      <c r="O201" s="9">
        <v>0.37459999999999999</v>
      </c>
      <c r="P201" s="9">
        <v>1.2192000000000001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CONTROL!$C$32, 5.8274, 5.8221) * CHOOSE(CONTROL!$C$15, $D$11, 100%, $F$11)</f>
        <v>5.8273999999999999</v>
      </c>
      <c r="C202" s="8">
        <f>CHOOSE( CONTROL!$C$32, 5.8378, 5.8325) * CHOOSE(CONTROL!$C$15, $D$11, 100%, $F$11)</f>
        <v>5.8377999999999997</v>
      </c>
      <c r="D202" s="8">
        <f>CHOOSE( CONTROL!$C$32, 5.8582, 5.853) * CHOOSE( CONTROL!$C$15, $D$11, 100%, $F$11)</f>
        <v>5.8582000000000001</v>
      </c>
      <c r="E202" s="12">
        <f>CHOOSE( CONTROL!$C$32, 5.8492, 5.844) * CHOOSE( CONTROL!$C$15, $D$11, 100%, $F$11)</f>
        <v>5.8491999999999997</v>
      </c>
      <c r="F202" s="4">
        <f>CHOOSE( CONTROL!$C$32, 6.8628, 6.8575) * CHOOSE(CONTROL!$C$15, $D$11, 100%, $F$11)</f>
        <v>6.8628</v>
      </c>
      <c r="G202" s="8">
        <f>CHOOSE( CONTROL!$C$32, 5.6858, 5.6807) * CHOOSE( CONTROL!$C$15, $D$11, 100%, $F$11)</f>
        <v>5.6858000000000004</v>
      </c>
      <c r="H202" s="4">
        <f>CHOOSE( CONTROL!$C$32, 6.6134, 6.6083) * CHOOSE(CONTROL!$C$15, $D$11, 100%, $F$11)</f>
        <v>6.6134000000000004</v>
      </c>
      <c r="I202" s="8">
        <f>CHOOSE( CONTROL!$C$32, 5.6406, 5.6355) * CHOOSE(CONTROL!$C$15, $D$11, 100%, $F$11)</f>
        <v>5.6406000000000001</v>
      </c>
      <c r="J202" s="4">
        <f>CHOOSE( CONTROL!$C$32, 5.579, 5.574) * CHOOSE(CONTROL!$C$15, $D$11, 100%, $F$11)</f>
        <v>5.5789999999999997</v>
      </c>
      <c r="K202" s="4"/>
      <c r="L202" s="9">
        <v>28.568200000000001</v>
      </c>
      <c r="M202" s="9">
        <v>11.6745</v>
      </c>
      <c r="N202" s="9">
        <v>4.7850000000000001</v>
      </c>
      <c r="O202" s="9">
        <v>0.36249999999999999</v>
      </c>
      <c r="P202" s="9">
        <v>1.1798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CONTROL!$C$32, 6.0777, 6.0724) * CHOOSE(CONTROL!$C$15, $D$11, 100%, $F$11)</f>
        <v>6.0777000000000001</v>
      </c>
      <c r="C203" s="8">
        <f>CHOOSE( CONTROL!$C$32, 6.0881, 6.0829) * CHOOSE(CONTROL!$C$15, $D$11, 100%, $F$11)</f>
        <v>6.0880999999999998</v>
      </c>
      <c r="D203" s="8">
        <f>CHOOSE( CONTROL!$C$32, 6.0987, 6.0935) * CHOOSE( CONTROL!$C$15, $D$11, 100%, $F$11)</f>
        <v>6.0987</v>
      </c>
      <c r="E203" s="12">
        <f>CHOOSE( CONTROL!$C$32, 6.0933, 6.0881) * CHOOSE( CONTROL!$C$15, $D$11, 100%, $F$11)</f>
        <v>6.0933000000000002</v>
      </c>
      <c r="F203" s="4">
        <f>CHOOSE( CONTROL!$C$32, 7.1131, 7.1078) * CHOOSE(CONTROL!$C$15, $D$11, 100%, $F$11)</f>
        <v>7.1131000000000002</v>
      </c>
      <c r="G203" s="8">
        <f>CHOOSE( CONTROL!$C$32, 5.9166, 5.9114) * CHOOSE( CONTROL!$C$15, $D$11, 100%, $F$11)</f>
        <v>5.9165999999999999</v>
      </c>
      <c r="H203" s="4">
        <f>CHOOSE( CONTROL!$C$32, 6.8574, 6.8523) * CHOOSE(CONTROL!$C$15, $D$11, 100%, $F$11)</f>
        <v>6.8574000000000002</v>
      </c>
      <c r="I203" s="8">
        <f>CHOOSE( CONTROL!$C$32, 5.8839, 5.8789) * CHOOSE(CONTROL!$C$15, $D$11, 100%, $F$11)</f>
        <v>5.8838999999999997</v>
      </c>
      <c r="J203" s="4">
        <f>CHOOSE( CONTROL!$C$32, 5.8189, 5.8138) * CHOOSE(CONTROL!$C$15, $D$11, 100%, $F$11)</f>
        <v>5.8189000000000002</v>
      </c>
      <c r="K203" s="4"/>
      <c r="L203" s="9">
        <v>29.520499999999998</v>
      </c>
      <c r="M203" s="9">
        <v>12.063700000000001</v>
      </c>
      <c r="N203" s="9">
        <v>4.9444999999999997</v>
      </c>
      <c r="O203" s="9">
        <v>0.37459999999999999</v>
      </c>
      <c r="P203" s="9">
        <v>1.2192000000000001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CONTROL!$C$32, 5.6093, 5.6041) * CHOOSE(CONTROL!$C$15, $D$11, 100%, $F$11)</f>
        <v>5.6093000000000002</v>
      </c>
      <c r="C204" s="8">
        <f>CHOOSE( CONTROL!$C$32, 5.6197, 5.6145) * CHOOSE(CONTROL!$C$15, $D$11, 100%, $F$11)</f>
        <v>5.6196999999999999</v>
      </c>
      <c r="D204" s="8">
        <f>CHOOSE( CONTROL!$C$32, 5.6307, 5.6254) * CHOOSE( CONTROL!$C$15, $D$11, 100%, $F$11)</f>
        <v>5.6307</v>
      </c>
      <c r="E204" s="12">
        <f>CHOOSE( CONTROL!$C$32, 5.6251, 5.6199) * CHOOSE( CONTROL!$C$15, $D$11, 100%, $F$11)</f>
        <v>5.6250999999999998</v>
      </c>
      <c r="F204" s="4">
        <f>CHOOSE( CONTROL!$C$32, 6.6447, 6.6395) * CHOOSE(CONTROL!$C$15, $D$11, 100%, $F$11)</f>
        <v>6.6447000000000003</v>
      </c>
      <c r="G204" s="8">
        <f>CHOOSE( CONTROL!$C$32, 5.4605, 5.4554) * CHOOSE( CONTROL!$C$15, $D$11, 100%, $F$11)</f>
        <v>5.4604999999999997</v>
      </c>
      <c r="H204" s="4">
        <f>CHOOSE( CONTROL!$C$32, 6.4009, 6.3957) * CHOOSE(CONTROL!$C$15, $D$11, 100%, $F$11)</f>
        <v>6.4009</v>
      </c>
      <c r="I204" s="8">
        <f>CHOOSE( CONTROL!$C$32, 5.4365, 5.4315) * CHOOSE(CONTROL!$C$15, $D$11, 100%, $F$11)</f>
        <v>5.4364999999999997</v>
      </c>
      <c r="J204" s="4">
        <f>CHOOSE( CONTROL!$C$32, 5.3701, 5.365) * CHOOSE(CONTROL!$C$15, $D$11, 100%, $F$11)</f>
        <v>5.3700999999999999</v>
      </c>
      <c r="K204" s="4"/>
      <c r="L204" s="9">
        <v>29.520499999999998</v>
      </c>
      <c r="M204" s="9">
        <v>12.063700000000001</v>
      </c>
      <c r="N204" s="9">
        <v>4.9444999999999997</v>
      </c>
      <c r="O204" s="9">
        <v>0.37459999999999999</v>
      </c>
      <c r="P204" s="9">
        <v>1.2192000000000001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CONTROL!$C$32, 5.492, 5.4868) * CHOOSE(CONTROL!$C$15, $D$11, 100%, $F$11)</f>
        <v>5.492</v>
      </c>
      <c r="C205" s="8">
        <f>CHOOSE( CONTROL!$C$32, 5.5025, 5.4972) * CHOOSE(CONTROL!$C$15, $D$11, 100%, $F$11)</f>
        <v>5.5025000000000004</v>
      </c>
      <c r="D205" s="8">
        <f>CHOOSE( CONTROL!$C$32, 5.5135, 5.5083) * CHOOSE( CONTROL!$C$15, $D$11, 100%, $F$11)</f>
        <v>5.5134999999999996</v>
      </c>
      <c r="E205" s="12">
        <f>CHOOSE( CONTROL!$C$32, 5.5079, 5.5027) * CHOOSE( CONTROL!$C$15, $D$11, 100%, $F$11)</f>
        <v>5.5079000000000002</v>
      </c>
      <c r="F205" s="4">
        <f>CHOOSE( CONTROL!$C$32, 6.5275, 6.5222) * CHOOSE(CONTROL!$C$15, $D$11, 100%, $F$11)</f>
        <v>6.5274999999999999</v>
      </c>
      <c r="G205" s="8">
        <f>CHOOSE( CONTROL!$C$32, 5.3464, 5.3413) * CHOOSE( CONTROL!$C$15, $D$11, 100%, $F$11)</f>
        <v>5.3464</v>
      </c>
      <c r="H205" s="4">
        <f>CHOOSE( CONTROL!$C$32, 6.2865, 6.2814) * CHOOSE(CONTROL!$C$15, $D$11, 100%, $F$11)</f>
        <v>6.2865000000000002</v>
      </c>
      <c r="I205" s="8">
        <f>CHOOSE( CONTROL!$C$32, 5.3248, 5.3198) * CHOOSE(CONTROL!$C$15, $D$11, 100%, $F$11)</f>
        <v>5.3247999999999998</v>
      </c>
      <c r="J205" s="4">
        <f>CHOOSE( CONTROL!$C$32, 5.2577, 5.2527) * CHOOSE(CONTROL!$C$15, $D$11, 100%, $F$11)</f>
        <v>5.2576999999999998</v>
      </c>
      <c r="K205" s="4"/>
      <c r="L205" s="9">
        <v>28.568200000000001</v>
      </c>
      <c r="M205" s="9">
        <v>11.6745</v>
      </c>
      <c r="N205" s="9">
        <v>4.7850000000000001</v>
      </c>
      <c r="O205" s="9">
        <v>0.36249999999999999</v>
      </c>
      <c r="P205" s="9">
        <v>1.1798</v>
      </c>
      <c r="Q205" s="9">
        <v>30.0258</v>
      </c>
      <c r="R205" s="9"/>
      <c r="S205" s="11"/>
    </row>
    <row r="206" spans="1:19" ht="15.75">
      <c r="A206" s="13">
        <v>48122</v>
      </c>
      <c r="B206" s="8">
        <f>5.7303 * CHOOSE(CONTROL!$C$15, $D$11, 100%, $F$11)</f>
        <v>5.7302999999999997</v>
      </c>
      <c r="C206" s="8">
        <f>5.7407 * CHOOSE(CONTROL!$C$15, $D$11, 100%, $F$11)</f>
        <v>5.7407000000000004</v>
      </c>
      <c r="D206" s="8">
        <f>5.7531 * CHOOSE( CONTROL!$C$15, $D$11, 100%, $F$11)</f>
        <v>5.7530999999999999</v>
      </c>
      <c r="E206" s="12">
        <f>5.7479 * CHOOSE( CONTROL!$C$15, $D$11, 100%, $F$11)</f>
        <v>5.7478999999999996</v>
      </c>
      <c r="F206" s="4">
        <f>6.7657 * CHOOSE(CONTROL!$C$15, $D$11, 100%, $F$11)</f>
        <v>6.7656999999999998</v>
      </c>
      <c r="G206" s="8">
        <f>5.578 * CHOOSE( CONTROL!$C$15, $D$11, 100%, $F$11)</f>
        <v>5.5780000000000003</v>
      </c>
      <c r="H206" s="4">
        <f>6.5188 * CHOOSE(CONTROL!$C$15, $D$11, 100%, $F$11)</f>
        <v>6.5187999999999997</v>
      </c>
      <c r="I206" s="8">
        <f>5.5546 * CHOOSE(CONTROL!$C$15, $D$11, 100%, $F$11)</f>
        <v>5.5545999999999998</v>
      </c>
      <c r="J206" s="4">
        <f>5.486 * CHOOSE(CONTROL!$C$15, $D$11, 100%, $F$11)</f>
        <v>5.4859999999999998</v>
      </c>
      <c r="K206" s="4"/>
      <c r="L206" s="9">
        <v>28.921800000000001</v>
      </c>
      <c r="M206" s="9">
        <v>12.063700000000001</v>
      </c>
      <c r="N206" s="9">
        <v>4.9444999999999997</v>
      </c>
      <c r="O206" s="9">
        <v>0.37459999999999999</v>
      </c>
      <c r="P206" s="9">
        <v>1.2192000000000001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6.1798 * CHOOSE(CONTROL!$C$15, $D$11, 100%, $F$11)</f>
        <v>6.1798000000000002</v>
      </c>
      <c r="C207" s="8">
        <f>6.1902 * CHOOSE(CONTROL!$C$15, $D$11, 100%, $F$11)</f>
        <v>6.1901999999999999</v>
      </c>
      <c r="D207" s="8">
        <f>6.174 * CHOOSE( CONTROL!$C$15, $D$11, 100%, $F$11)</f>
        <v>6.1740000000000004</v>
      </c>
      <c r="E207" s="12">
        <f>6.1788 * CHOOSE( CONTROL!$C$15, $D$11, 100%, $F$11)</f>
        <v>6.1787999999999998</v>
      </c>
      <c r="F207" s="4">
        <f>7.174 * CHOOSE(CONTROL!$C$15, $D$11, 100%, $F$11)</f>
        <v>7.1740000000000004</v>
      </c>
      <c r="G207" s="8">
        <f>6.0371 * CHOOSE( CONTROL!$C$15, $D$11, 100%, $F$11)</f>
        <v>6.0370999999999997</v>
      </c>
      <c r="H207" s="4">
        <f>6.9168 * CHOOSE(CONTROL!$C$15, $D$11, 100%, $F$11)</f>
        <v>6.9168000000000003</v>
      </c>
      <c r="I207" s="8">
        <f>6.0224 * CHOOSE(CONTROL!$C$15, $D$11, 100%, $F$11)</f>
        <v>6.0224000000000002</v>
      </c>
      <c r="J207" s="4">
        <f>5.9167 * CHOOSE(CONTROL!$C$15, $D$11, 100%, $F$11)</f>
        <v>5.9166999999999996</v>
      </c>
      <c r="K207" s="4"/>
      <c r="L207" s="9">
        <v>26.515499999999999</v>
      </c>
      <c r="M207" s="9">
        <v>11.6745</v>
      </c>
      <c r="N207" s="9">
        <v>4.7850000000000001</v>
      </c>
      <c r="O207" s="9">
        <v>0.36249999999999999</v>
      </c>
      <c r="P207" s="9">
        <v>1.2522</v>
      </c>
      <c r="Q207" s="9">
        <v>30.0258</v>
      </c>
      <c r="R207" s="9"/>
      <c r="S207" s="11"/>
    </row>
    <row r="208" spans="1:19" ht="15.75">
      <c r="A208" s="13">
        <v>48183</v>
      </c>
      <c r="B208" s="8">
        <f>6.1686 * CHOOSE(CONTROL!$C$15, $D$11, 100%, $F$11)</f>
        <v>6.1685999999999996</v>
      </c>
      <c r="C208" s="8">
        <f>6.179 * CHOOSE(CONTROL!$C$15, $D$11, 100%, $F$11)</f>
        <v>6.1790000000000003</v>
      </c>
      <c r="D208" s="8">
        <f>6.165 * CHOOSE( CONTROL!$C$15, $D$11, 100%, $F$11)</f>
        <v>6.165</v>
      </c>
      <c r="E208" s="12">
        <f>6.169 * CHOOSE( CONTROL!$C$15, $D$11, 100%, $F$11)</f>
        <v>6.1689999999999996</v>
      </c>
      <c r="F208" s="4">
        <f>7.1628 * CHOOSE(CONTROL!$C$15, $D$11, 100%, $F$11)</f>
        <v>7.1627999999999998</v>
      </c>
      <c r="G208" s="8">
        <f>6.0279 * CHOOSE( CONTROL!$C$15, $D$11, 100%, $F$11)</f>
        <v>6.0278999999999998</v>
      </c>
      <c r="H208" s="4">
        <f>6.9058 * CHOOSE(CONTROL!$C$15, $D$11, 100%, $F$11)</f>
        <v>6.9058000000000002</v>
      </c>
      <c r="I208" s="8">
        <f>6.0192 * CHOOSE(CONTROL!$C$15, $D$11, 100%, $F$11)</f>
        <v>6.0191999999999997</v>
      </c>
      <c r="J208" s="4">
        <f>5.906 * CHOOSE(CONTROL!$C$15, $D$11, 100%, $F$11)</f>
        <v>5.9059999999999997</v>
      </c>
      <c r="K208" s="4"/>
      <c r="L208" s="9">
        <v>27.3993</v>
      </c>
      <c r="M208" s="9">
        <v>12.063700000000001</v>
      </c>
      <c r="N208" s="9">
        <v>4.9444999999999997</v>
      </c>
      <c r="O208" s="9">
        <v>0.37459999999999999</v>
      </c>
      <c r="P208" s="9">
        <v>1.2939000000000001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6.3254 * CHOOSE(CONTROL!$C$15, $D$11, 100%, $F$11)</f>
        <v>6.3254000000000001</v>
      </c>
      <c r="C209" s="8">
        <f>6.3358 * CHOOSE(CONTROL!$C$15, $D$11, 100%, $F$11)</f>
        <v>6.3357999999999999</v>
      </c>
      <c r="D209" s="8">
        <f>6.3352 * CHOOSE( CONTROL!$C$15, $D$11, 100%, $F$11)</f>
        <v>6.3352000000000004</v>
      </c>
      <c r="E209" s="12">
        <f>6.3343 * CHOOSE( CONTROL!$C$15, $D$11, 100%, $F$11)</f>
        <v>6.3342999999999998</v>
      </c>
      <c r="F209" s="4">
        <f>7.3483 * CHOOSE(CONTROL!$C$15, $D$11, 100%, $F$11)</f>
        <v>7.3483000000000001</v>
      </c>
      <c r="G209" s="8">
        <f>6.1944 * CHOOSE( CONTROL!$C$15, $D$11, 100%, $F$11)</f>
        <v>6.1943999999999999</v>
      </c>
      <c r="H209" s="4">
        <f>7.0867 * CHOOSE(CONTROL!$C$15, $D$11, 100%, $F$11)</f>
        <v>7.0867000000000004</v>
      </c>
      <c r="I209" s="8">
        <f>6.1679 * CHOOSE(CONTROL!$C$15, $D$11, 100%, $F$11)</f>
        <v>6.1679000000000004</v>
      </c>
      <c r="J209" s="4">
        <f>6.0562 * CHOOSE(CONTROL!$C$15, $D$11, 100%, $F$11)</f>
        <v>6.0561999999999996</v>
      </c>
      <c r="K209" s="4"/>
      <c r="L209" s="9">
        <v>27.3993</v>
      </c>
      <c r="M209" s="9">
        <v>12.063700000000001</v>
      </c>
      <c r="N209" s="9">
        <v>4.9444999999999997</v>
      </c>
      <c r="O209" s="9">
        <v>0.37459999999999999</v>
      </c>
      <c r="P209" s="9">
        <v>1.2939000000000001</v>
      </c>
      <c r="Q209" s="9">
        <v>30.8704</v>
      </c>
      <c r="R209" s="9"/>
      <c r="S209" s="11"/>
    </row>
    <row r="210" spans="1:19" ht="15.75">
      <c r="A210" s="13">
        <v>48245</v>
      </c>
      <c r="B210" s="8">
        <f>5.9168 * CHOOSE(CONTROL!$C$15, $D$11, 100%, $F$11)</f>
        <v>5.9168000000000003</v>
      </c>
      <c r="C210" s="8">
        <f>5.9272 * CHOOSE(CONTROL!$C$15, $D$11, 100%, $F$11)</f>
        <v>5.9272</v>
      </c>
      <c r="D210" s="8">
        <f>5.9287 * CHOOSE( CONTROL!$C$15, $D$11, 100%, $F$11)</f>
        <v>5.9287000000000001</v>
      </c>
      <c r="E210" s="12">
        <f>5.927 * CHOOSE( CONTROL!$C$15, $D$11, 100%, $F$11)</f>
        <v>5.9269999999999996</v>
      </c>
      <c r="F210" s="4">
        <f>6.9319 * CHOOSE(CONTROL!$C$15, $D$11, 100%, $F$11)</f>
        <v>6.9318999999999997</v>
      </c>
      <c r="G210" s="8">
        <f>5.7959 * CHOOSE( CONTROL!$C$15, $D$11, 100%, $F$11)</f>
        <v>5.7958999999999996</v>
      </c>
      <c r="H210" s="4">
        <f>6.6808 * CHOOSE(CONTROL!$C$15, $D$11, 100%, $F$11)</f>
        <v>6.6807999999999996</v>
      </c>
      <c r="I210" s="8">
        <f>5.7652 * CHOOSE(CONTROL!$C$15, $D$11, 100%, $F$11)</f>
        <v>5.7652000000000001</v>
      </c>
      <c r="J210" s="4">
        <f>5.6647 * CHOOSE(CONTROL!$C$15, $D$11, 100%, $F$11)</f>
        <v>5.6646999999999998</v>
      </c>
      <c r="K210" s="4"/>
      <c r="L210" s="9">
        <v>25.631599999999999</v>
      </c>
      <c r="M210" s="9">
        <v>11.285299999999999</v>
      </c>
      <c r="N210" s="9">
        <v>4.6254999999999997</v>
      </c>
      <c r="O210" s="9">
        <v>0.35039999999999999</v>
      </c>
      <c r="P210" s="9">
        <v>1.2104999999999999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5.7909 * CHOOSE(CONTROL!$C$15, $D$11, 100%, $F$11)</f>
        <v>5.7908999999999997</v>
      </c>
      <c r="C211" s="8">
        <f>5.8014 * CHOOSE(CONTROL!$C$15, $D$11, 100%, $F$11)</f>
        <v>5.8014000000000001</v>
      </c>
      <c r="D211" s="8">
        <f>5.7824 * CHOOSE( CONTROL!$C$15, $D$11, 100%, $F$11)</f>
        <v>5.7824</v>
      </c>
      <c r="E211" s="12">
        <f>5.7882 * CHOOSE( CONTROL!$C$15, $D$11, 100%, $F$11)</f>
        <v>5.7881999999999998</v>
      </c>
      <c r="F211" s="4">
        <f>6.7899 * CHOOSE(CONTROL!$C$15, $D$11, 100%, $F$11)</f>
        <v>6.7899000000000003</v>
      </c>
      <c r="G211" s="8">
        <f>5.6525 * CHOOSE( CONTROL!$C$15, $D$11, 100%, $F$11)</f>
        <v>5.6524999999999999</v>
      </c>
      <c r="H211" s="4">
        <f>6.5423 * CHOOSE(CONTROL!$C$15, $D$11, 100%, $F$11)</f>
        <v>6.5423</v>
      </c>
      <c r="I211" s="8">
        <f>5.605 * CHOOSE(CONTROL!$C$15, $D$11, 100%, $F$11)</f>
        <v>5.6050000000000004</v>
      </c>
      <c r="J211" s="4">
        <f>5.5441 * CHOOSE(CONTROL!$C$15, $D$11, 100%, $F$11)</f>
        <v>5.5441000000000003</v>
      </c>
      <c r="K211" s="4"/>
      <c r="L211" s="9">
        <v>27.3993</v>
      </c>
      <c r="M211" s="9">
        <v>12.063700000000001</v>
      </c>
      <c r="N211" s="9">
        <v>4.9444999999999997</v>
      </c>
      <c r="O211" s="9">
        <v>0.37459999999999999</v>
      </c>
      <c r="P211" s="9">
        <v>1.2939000000000001</v>
      </c>
      <c r="Q211" s="9">
        <v>30.8704</v>
      </c>
      <c r="R211" s="9"/>
      <c r="S211" s="11"/>
    </row>
    <row r="212" spans="1:19" ht="15.75">
      <c r="A212" s="13">
        <v>48305</v>
      </c>
      <c r="B212" s="8">
        <f>5.8789 * CHOOSE(CONTROL!$C$15, $D$11, 100%, $F$11)</f>
        <v>5.8788999999999998</v>
      </c>
      <c r="C212" s="8">
        <f>5.8893 * CHOOSE(CONTROL!$C$15, $D$11, 100%, $F$11)</f>
        <v>5.8893000000000004</v>
      </c>
      <c r="D212" s="8">
        <f>5.8933 * CHOOSE( CONTROL!$C$15, $D$11, 100%, $F$11)</f>
        <v>5.8933</v>
      </c>
      <c r="E212" s="12">
        <f>5.8908 * CHOOSE( CONTROL!$C$15, $D$11, 100%, $F$11)</f>
        <v>5.8907999999999996</v>
      </c>
      <c r="F212" s="4">
        <f>6.8861 * CHOOSE(CONTROL!$C$15, $D$11, 100%, $F$11)</f>
        <v>6.8860999999999999</v>
      </c>
      <c r="G212" s="8">
        <f>5.7266 * CHOOSE( CONTROL!$C$15, $D$11, 100%, $F$11)</f>
        <v>5.7266000000000004</v>
      </c>
      <c r="H212" s="4">
        <f>6.6362 * CHOOSE(CONTROL!$C$15, $D$11, 100%, $F$11)</f>
        <v>6.6361999999999997</v>
      </c>
      <c r="I212" s="8">
        <f>5.6794 * CHOOSE(CONTROL!$C$15, $D$11, 100%, $F$11)</f>
        <v>5.6794000000000002</v>
      </c>
      <c r="J212" s="4">
        <f>5.6284 * CHOOSE(CONTROL!$C$15, $D$11, 100%, $F$11)</f>
        <v>5.6284000000000001</v>
      </c>
      <c r="K212" s="4"/>
      <c r="L212" s="9">
        <v>27.988800000000001</v>
      </c>
      <c r="M212" s="9">
        <v>11.6745</v>
      </c>
      <c r="N212" s="9">
        <v>4.7850000000000001</v>
      </c>
      <c r="O212" s="9">
        <v>0.36249999999999999</v>
      </c>
      <c r="P212" s="9">
        <v>1.1798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CONTROL!$C$32, 6.0407, 6.0354) * CHOOSE(CONTROL!$C$15, $D$11, 100%, $F$11)</f>
        <v>6.0407000000000002</v>
      </c>
      <c r="C213" s="8">
        <f>CHOOSE( CONTROL!$C$32, 6.0511, 6.0458) * CHOOSE(CONTROL!$C$15, $D$11, 100%, $F$11)</f>
        <v>6.0510999999999999</v>
      </c>
      <c r="D213" s="8">
        <f>CHOOSE( CONTROL!$C$32, 6.0639, 6.0587) * CHOOSE( CONTROL!$C$15, $D$11, 100%, $F$11)</f>
        <v>6.0639000000000003</v>
      </c>
      <c r="E213" s="12">
        <f>CHOOSE( CONTROL!$C$32, 6.0577, 6.0524) * CHOOSE( CONTROL!$C$15, $D$11, 100%, $F$11)</f>
        <v>6.0576999999999996</v>
      </c>
      <c r="F213" s="4">
        <f>CHOOSE( CONTROL!$C$32, 7.0636, 7.0583) * CHOOSE(CONTROL!$C$15, $D$11, 100%, $F$11)</f>
        <v>7.0636000000000001</v>
      </c>
      <c r="G213" s="8">
        <f>CHOOSE( CONTROL!$C$32, 5.8899, 5.8847) * CHOOSE( CONTROL!$C$15, $D$11, 100%, $F$11)</f>
        <v>5.8898999999999999</v>
      </c>
      <c r="H213" s="4">
        <f>CHOOSE( CONTROL!$C$32, 6.8091, 6.804) * CHOOSE(CONTROL!$C$15, $D$11, 100%, $F$11)</f>
        <v>6.8090999999999999</v>
      </c>
      <c r="I213" s="8">
        <f>CHOOSE( CONTROL!$C$32, 5.8398, 5.8348) * CHOOSE(CONTROL!$C$15, $D$11, 100%, $F$11)</f>
        <v>5.8398000000000003</v>
      </c>
      <c r="J213" s="4">
        <f>CHOOSE( CONTROL!$C$32, 5.7834, 5.7784) * CHOOSE(CONTROL!$C$15, $D$11, 100%, $F$11)</f>
        <v>5.7834000000000003</v>
      </c>
      <c r="K213" s="4"/>
      <c r="L213" s="9">
        <v>29.520499999999998</v>
      </c>
      <c r="M213" s="9">
        <v>12.063700000000001</v>
      </c>
      <c r="N213" s="9">
        <v>4.9444999999999997</v>
      </c>
      <c r="O213" s="9">
        <v>0.37459999999999999</v>
      </c>
      <c r="P213" s="9">
        <v>1.2192000000000001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CONTROL!$C$32, 5.9437, 5.9384) * CHOOSE(CONTROL!$C$15, $D$11, 100%, $F$11)</f>
        <v>5.9436999999999998</v>
      </c>
      <c r="C214" s="8">
        <f>CHOOSE( CONTROL!$C$32, 5.9541, 5.9489) * CHOOSE(CONTROL!$C$15, $D$11, 100%, $F$11)</f>
        <v>5.9541000000000004</v>
      </c>
      <c r="D214" s="8">
        <f>CHOOSE( CONTROL!$C$32, 5.9746, 5.9693) * CHOOSE( CONTROL!$C$15, $D$11, 100%, $F$11)</f>
        <v>5.9745999999999997</v>
      </c>
      <c r="E214" s="12">
        <f>CHOOSE( CONTROL!$C$32, 5.9656, 5.9603) * CHOOSE( CONTROL!$C$15, $D$11, 100%, $F$11)</f>
        <v>5.9656000000000002</v>
      </c>
      <c r="F214" s="4">
        <f>CHOOSE( CONTROL!$C$32, 6.9791, 6.9739) * CHOOSE(CONTROL!$C$15, $D$11, 100%, $F$11)</f>
        <v>6.9790999999999999</v>
      </c>
      <c r="G214" s="8">
        <f>CHOOSE( CONTROL!$C$32, 5.7992, 5.7941) * CHOOSE( CONTROL!$C$15, $D$11, 100%, $F$11)</f>
        <v>5.7991999999999999</v>
      </c>
      <c r="H214" s="4">
        <f>CHOOSE( CONTROL!$C$32, 6.7268, 6.7217) * CHOOSE(CONTROL!$C$15, $D$11, 100%, $F$11)</f>
        <v>6.7267999999999999</v>
      </c>
      <c r="I214" s="8">
        <f>CHOOSE( CONTROL!$C$32, 5.7521, 5.7471) * CHOOSE(CONTROL!$C$15, $D$11, 100%, $F$11)</f>
        <v>5.7521000000000004</v>
      </c>
      <c r="J214" s="4">
        <f>CHOOSE( CONTROL!$C$32, 5.6905, 5.6855) * CHOOSE(CONTROL!$C$15, $D$11, 100%, $F$11)</f>
        <v>5.6905000000000001</v>
      </c>
      <c r="K214" s="4"/>
      <c r="L214" s="9">
        <v>28.568200000000001</v>
      </c>
      <c r="M214" s="9">
        <v>11.6745</v>
      </c>
      <c r="N214" s="9">
        <v>4.7850000000000001</v>
      </c>
      <c r="O214" s="9">
        <v>0.36249999999999999</v>
      </c>
      <c r="P214" s="9">
        <v>1.1798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CONTROL!$C$32, 6.199, 6.1938) * CHOOSE(CONTROL!$C$15, $D$11, 100%, $F$11)</f>
        <v>6.1989999999999998</v>
      </c>
      <c r="C215" s="8">
        <f>CHOOSE( CONTROL!$C$32, 6.2095, 6.2042) * CHOOSE(CONTROL!$C$15, $D$11, 100%, $F$11)</f>
        <v>6.2095000000000002</v>
      </c>
      <c r="D215" s="8">
        <f>CHOOSE( CONTROL!$C$32, 6.2201, 6.2148) * CHOOSE( CONTROL!$C$15, $D$11, 100%, $F$11)</f>
        <v>6.2201000000000004</v>
      </c>
      <c r="E215" s="12">
        <f>CHOOSE( CONTROL!$C$32, 6.2147, 6.2094) * CHOOSE( CONTROL!$C$15, $D$11, 100%, $F$11)</f>
        <v>6.2146999999999997</v>
      </c>
      <c r="F215" s="4">
        <f>CHOOSE( CONTROL!$C$32, 7.2345, 7.2292) * CHOOSE(CONTROL!$C$15, $D$11, 100%, $F$11)</f>
        <v>7.2344999999999997</v>
      </c>
      <c r="G215" s="8">
        <f>CHOOSE( CONTROL!$C$32, 6.0348, 6.0297) * CHOOSE( CONTROL!$C$15, $D$11, 100%, $F$11)</f>
        <v>6.0347999999999997</v>
      </c>
      <c r="H215" s="4">
        <f>CHOOSE( CONTROL!$C$32, 6.9757, 6.9706) * CHOOSE(CONTROL!$C$15, $D$11, 100%, $F$11)</f>
        <v>6.9756999999999998</v>
      </c>
      <c r="I215" s="8">
        <f>CHOOSE( CONTROL!$C$32, 6.0003, 5.9952) * CHOOSE(CONTROL!$C$15, $D$11, 100%, $F$11)</f>
        <v>6.0003000000000002</v>
      </c>
      <c r="J215" s="4">
        <f>CHOOSE( CONTROL!$C$32, 5.9351, 5.9301) * CHOOSE(CONTROL!$C$15, $D$11, 100%, $F$11)</f>
        <v>5.9351000000000003</v>
      </c>
      <c r="K215" s="4"/>
      <c r="L215" s="9">
        <v>29.520499999999998</v>
      </c>
      <c r="M215" s="9">
        <v>12.063700000000001</v>
      </c>
      <c r="N215" s="9">
        <v>4.9444999999999997</v>
      </c>
      <c r="O215" s="9">
        <v>0.37459999999999999</v>
      </c>
      <c r="P215" s="9">
        <v>1.2192000000000001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CONTROL!$C$32, 5.7213, 5.716) * CHOOSE(CONTROL!$C$15, $D$11, 100%, $F$11)</f>
        <v>5.7213000000000003</v>
      </c>
      <c r="C216" s="8">
        <f>CHOOSE( CONTROL!$C$32, 5.7317, 5.7265) * CHOOSE(CONTROL!$C$15, $D$11, 100%, $F$11)</f>
        <v>5.7317</v>
      </c>
      <c r="D216" s="8">
        <f>CHOOSE( CONTROL!$C$32, 5.7427, 5.7374) * CHOOSE( CONTROL!$C$15, $D$11, 100%, $F$11)</f>
        <v>5.7427000000000001</v>
      </c>
      <c r="E216" s="12">
        <f>CHOOSE( CONTROL!$C$32, 5.7371, 5.7318) * CHOOSE( CONTROL!$C$15, $D$11, 100%, $F$11)</f>
        <v>5.7370999999999999</v>
      </c>
      <c r="F216" s="4">
        <f>CHOOSE( CONTROL!$C$32, 6.7567, 6.7515) * CHOOSE(CONTROL!$C$15, $D$11, 100%, $F$11)</f>
        <v>6.7567000000000004</v>
      </c>
      <c r="G216" s="8">
        <f>CHOOSE( CONTROL!$C$32, 5.5697, 5.5645) * CHOOSE( CONTROL!$C$15, $D$11, 100%, $F$11)</f>
        <v>5.5697000000000001</v>
      </c>
      <c r="H216" s="4">
        <f>CHOOSE( CONTROL!$C$32, 6.51, 6.5049) * CHOOSE(CONTROL!$C$15, $D$11, 100%, $F$11)</f>
        <v>6.51</v>
      </c>
      <c r="I216" s="8">
        <f>CHOOSE( CONTROL!$C$32, 5.5439, 5.5389) * CHOOSE(CONTROL!$C$15, $D$11, 100%, $F$11)</f>
        <v>5.5438999999999998</v>
      </c>
      <c r="J216" s="4">
        <f>CHOOSE( CONTROL!$C$32, 5.4774, 5.4723) * CHOOSE(CONTROL!$C$15, $D$11, 100%, $F$11)</f>
        <v>5.4774000000000003</v>
      </c>
      <c r="K216" s="4"/>
      <c r="L216" s="9">
        <v>29.520499999999998</v>
      </c>
      <c r="M216" s="9">
        <v>12.063700000000001</v>
      </c>
      <c r="N216" s="9">
        <v>4.9444999999999997</v>
      </c>
      <c r="O216" s="9">
        <v>0.37459999999999999</v>
      </c>
      <c r="P216" s="9">
        <v>1.2192000000000001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CONTROL!$C$32, 5.6017, 5.5964) * CHOOSE(CONTROL!$C$15, $D$11, 100%, $F$11)</f>
        <v>5.6017000000000001</v>
      </c>
      <c r="C217" s="8">
        <f>CHOOSE( CONTROL!$C$32, 5.6121, 5.6068) * CHOOSE(CONTROL!$C$15, $D$11, 100%, $F$11)</f>
        <v>5.6120999999999999</v>
      </c>
      <c r="D217" s="8">
        <f>CHOOSE( CONTROL!$C$32, 5.6232, 5.6179) * CHOOSE( CONTROL!$C$15, $D$11, 100%, $F$11)</f>
        <v>5.6231999999999998</v>
      </c>
      <c r="E217" s="12">
        <f>CHOOSE( CONTROL!$C$32, 5.6176, 5.6123) * CHOOSE( CONTROL!$C$15, $D$11, 100%, $F$11)</f>
        <v>5.6176000000000004</v>
      </c>
      <c r="F217" s="4">
        <f>CHOOSE( CONTROL!$C$32, 6.6371, 6.6318) * CHOOSE(CONTROL!$C$15, $D$11, 100%, $F$11)</f>
        <v>6.6371000000000002</v>
      </c>
      <c r="G217" s="8">
        <f>CHOOSE( CONTROL!$C$32, 5.4532, 5.4481) * CHOOSE( CONTROL!$C$15, $D$11, 100%, $F$11)</f>
        <v>5.4531999999999998</v>
      </c>
      <c r="H217" s="4">
        <f>CHOOSE( CONTROL!$C$32, 6.3934, 6.3883) * CHOOSE(CONTROL!$C$15, $D$11, 100%, $F$11)</f>
        <v>6.3933999999999997</v>
      </c>
      <c r="I217" s="8">
        <f>CHOOSE( CONTROL!$C$32, 5.4299, 5.4249) * CHOOSE(CONTROL!$C$15, $D$11, 100%, $F$11)</f>
        <v>5.4298999999999999</v>
      </c>
      <c r="J217" s="4">
        <f>CHOOSE( CONTROL!$C$32, 5.3628, 5.3577) * CHOOSE(CONTROL!$C$15, $D$11, 100%, $F$11)</f>
        <v>5.3628</v>
      </c>
      <c r="K217" s="4"/>
      <c r="L217" s="9">
        <v>28.568200000000001</v>
      </c>
      <c r="M217" s="9">
        <v>11.6745</v>
      </c>
      <c r="N217" s="9">
        <v>4.7850000000000001</v>
      </c>
      <c r="O217" s="9">
        <v>0.36249999999999999</v>
      </c>
      <c r="P217" s="9">
        <v>1.1798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5.8448 * CHOOSE(CONTROL!$C$15, $D$11, 100%, $F$11)</f>
        <v>5.8448000000000002</v>
      </c>
      <c r="C218" s="8">
        <f>5.8552 * CHOOSE(CONTROL!$C$15, $D$11, 100%, $F$11)</f>
        <v>5.8552</v>
      </c>
      <c r="D218" s="8">
        <f>5.8676 * CHOOSE( CONTROL!$C$15, $D$11, 100%, $F$11)</f>
        <v>5.8676000000000004</v>
      </c>
      <c r="E218" s="12">
        <f>5.8624 * CHOOSE( CONTROL!$C$15, $D$11, 100%, $F$11)</f>
        <v>5.8624000000000001</v>
      </c>
      <c r="F218" s="4">
        <f>6.8802 * CHOOSE(CONTROL!$C$15, $D$11, 100%, $F$11)</f>
        <v>6.8802000000000003</v>
      </c>
      <c r="G218" s="8">
        <f>5.6896 * CHOOSE( CONTROL!$C$15, $D$11, 100%, $F$11)</f>
        <v>5.6896000000000004</v>
      </c>
      <c r="H218" s="4">
        <f>6.6304 * CHOOSE(CONTROL!$C$15, $D$11, 100%, $F$11)</f>
        <v>6.6303999999999998</v>
      </c>
      <c r="I218" s="8">
        <f>5.6644 * CHOOSE(CONTROL!$C$15, $D$11, 100%, $F$11)</f>
        <v>5.6643999999999997</v>
      </c>
      <c r="J218" s="4">
        <f>5.5957 * CHOOSE(CONTROL!$C$15, $D$11, 100%, $F$11)</f>
        <v>5.5956999999999999</v>
      </c>
      <c r="K218" s="4"/>
      <c r="L218" s="9">
        <v>28.921800000000001</v>
      </c>
      <c r="M218" s="9">
        <v>12.063700000000001</v>
      </c>
      <c r="N218" s="9">
        <v>4.9444999999999997</v>
      </c>
      <c r="O218" s="9">
        <v>0.37459999999999999</v>
      </c>
      <c r="P218" s="9">
        <v>1.2192000000000001</v>
      </c>
      <c r="Q218" s="9">
        <v>30.8704</v>
      </c>
      <c r="R218" s="9"/>
      <c r="S218" s="11"/>
    </row>
    <row r="219" spans="1:19" ht="15.75">
      <c r="A219" s="13">
        <v>48519</v>
      </c>
      <c r="B219" s="8">
        <f>6.3033 * CHOOSE(CONTROL!$C$15, $D$11, 100%, $F$11)</f>
        <v>6.3033000000000001</v>
      </c>
      <c r="C219" s="8">
        <f>6.3137 * CHOOSE(CONTROL!$C$15, $D$11, 100%, $F$11)</f>
        <v>6.3136999999999999</v>
      </c>
      <c r="D219" s="8">
        <f>6.2975 * CHOOSE( CONTROL!$C$15, $D$11, 100%, $F$11)</f>
        <v>6.2975000000000003</v>
      </c>
      <c r="E219" s="12">
        <f>6.3023 * CHOOSE( CONTROL!$C$15, $D$11, 100%, $F$11)</f>
        <v>6.3022999999999998</v>
      </c>
      <c r="F219" s="4">
        <f>7.2975 * CHOOSE(CONTROL!$C$15, $D$11, 100%, $F$11)</f>
        <v>7.2975000000000003</v>
      </c>
      <c r="G219" s="8">
        <f>6.1575 * CHOOSE( CONTROL!$C$15, $D$11, 100%, $F$11)</f>
        <v>6.1574999999999998</v>
      </c>
      <c r="H219" s="4">
        <f>7.0371 * CHOOSE(CONTROL!$C$15, $D$11, 100%, $F$11)</f>
        <v>7.0370999999999997</v>
      </c>
      <c r="I219" s="8">
        <f>6.1408 * CHOOSE(CONTROL!$C$15, $D$11, 100%, $F$11)</f>
        <v>6.1407999999999996</v>
      </c>
      <c r="J219" s="4">
        <f>6.035 * CHOOSE(CONTROL!$C$15, $D$11, 100%, $F$11)</f>
        <v>6.0350000000000001</v>
      </c>
      <c r="K219" s="4"/>
      <c r="L219" s="9">
        <v>26.515499999999999</v>
      </c>
      <c r="M219" s="9">
        <v>11.6745</v>
      </c>
      <c r="N219" s="9">
        <v>4.7850000000000001</v>
      </c>
      <c r="O219" s="9">
        <v>0.36249999999999999</v>
      </c>
      <c r="P219" s="9">
        <v>1.2522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6.2918 * CHOOSE(CONTROL!$C$15, $D$11, 100%, $F$11)</f>
        <v>6.2918000000000003</v>
      </c>
      <c r="C220" s="8">
        <f>6.3023 * CHOOSE(CONTROL!$C$15, $D$11, 100%, $F$11)</f>
        <v>6.3022999999999998</v>
      </c>
      <c r="D220" s="8">
        <f>6.2883 * CHOOSE( CONTROL!$C$15, $D$11, 100%, $F$11)</f>
        <v>6.2882999999999996</v>
      </c>
      <c r="E220" s="12">
        <f>6.2923 * CHOOSE( CONTROL!$C$15, $D$11, 100%, $F$11)</f>
        <v>6.2923</v>
      </c>
      <c r="F220" s="4">
        <f>7.286 * CHOOSE(CONTROL!$C$15, $D$11, 100%, $F$11)</f>
        <v>7.2859999999999996</v>
      </c>
      <c r="G220" s="8">
        <f>6.1481 * CHOOSE( CONTROL!$C$15, $D$11, 100%, $F$11)</f>
        <v>6.1481000000000003</v>
      </c>
      <c r="H220" s="4">
        <f>7.026 * CHOOSE(CONTROL!$C$15, $D$11, 100%, $F$11)</f>
        <v>7.0259999999999998</v>
      </c>
      <c r="I220" s="8">
        <f>6.1374 * CHOOSE(CONTROL!$C$15, $D$11, 100%, $F$11)</f>
        <v>6.1374000000000004</v>
      </c>
      <c r="J220" s="4">
        <f>6.0241 * CHOOSE(CONTROL!$C$15, $D$11, 100%, $F$11)</f>
        <v>6.0240999999999998</v>
      </c>
      <c r="K220" s="4"/>
      <c r="L220" s="9">
        <v>27.3993</v>
      </c>
      <c r="M220" s="9">
        <v>12.063700000000001</v>
      </c>
      <c r="N220" s="9">
        <v>4.9444999999999997</v>
      </c>
      <c r="O220" s="9">
        <v>0.37459999999999999</v>
      </c>
      <c r="P220" s="9">
        <v>1.2939000000000001</v>
      </c>
      <c r="Q220" s="9">
        <v>30.8704</v>
      </c>
      <c r="R220" s="9"/>
      <c r="S220" s="11"/>
    </row>
    <row r="221" spans="1:19" ht="15.75">
      <c r="A221" s="13">
        <v>48580</v>
      </c>
      <c r="B221" s="8">
        <f>6.4518 * CHOOSE(CONTROL!$C$15, $D$11, 100%, $F$11)</f>
        <v>6.4518000000000004</v>
      </c>
      <c r="C221" s="8">
        <f>6.4622 * CHOOSE(CONTROL!$C$15, $D$11, 100%, $F$11)</f>
        <v>6.4622000000000002</v>
      </c>
      <c r="D221" s="8">
        <f>6.4616 * CHOOSE( CONTROL!$C$15, $D$11, 100%, $F$11)</f>
        <v>6.4615999999999998</v>
      </c>
      <c r="E221" s="12">
        <f>6.4607 * CHOOSE( CONTROL!$C$15, $D$11, 100%, $F$11)</f>
        <v>6.4607000000000001</v>
      </c>
      <c r="F221" s="4">
        <f>7.4747 * CHOOSE(CONTROL!$C$15, $D$11, 100%, $F$11)</f>
        <v>7.4747000000000003</v>
      </c>
      <c r="G221" s="8">
        <f>6.3176 * CHOOSE( CONTROL!$C$15, $D$11, 100%, $F$11)</f>
        <v>6.3175999999999997</v>
      </c>
      <c r="H221" s="4">
        <f>7.2099 * CHOOSE(CONTROL!$C$15, $D$11, 100%, $F$11)</f>
        <v>7.2099000000000002</v>
      </c>
      <c r="I221" s="8">
        <f>6.289 * CHOOSE(CONTROL!$C$15, $D$11, 100%, $F$11)</f>
        <v>6.2889999999999997</v>
      </c>
      <c r="J221" s="4">
        <f>6.1774 * CHOOSE(CONTROL!$C$15, $D$11, 100%, $F$11)</f>
        <v>6.1773999999999996</v>
      </c>
      <c r="K221" s="4"/>
      <c r="L221" s="9">
        <v>27.3993</v>
      </c>
      <c r="M221" s="9">
        <v>12.063700000000001</v>
      </c>
      <c r="N221" s="9">
        <v>4.9444999999999997</v>
      </c>
      <c r="O221" s="9">
        <v>0.37459999999999999</v>
      </c>
      <c r="P221" s="9">
        <v>1.2939000000000001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6.035 * CHOOSE(CONTROL!$C$15, $D$11, 100%, $F$11)</f>
        <v>6.0350000000000001</v>
      </c>
      <c r="C222" s="8">
        <f>6.0455 * CHOOSE(CONTROL!$C$15, $D$11, 100%, $F$11)</f>
        <v>6.0454999999999997</v>
      </c>
      <c r="D222" s="8">
        <f>6.047 * CHOOSE( CONTROL!$C$15, $D$11, 100%, $F$11)</f>
        <v>6.0469999999999997</v>
      </c>
      <c r="E222" s="12">
        <f>6.0453 * CHOOSE( CONTROL!$C$15, $D$11, 100%, $F$11)</f>
        <v>6.0453000000000001</v>
      </c>
      <c r="F222" s="4">
        <f>7.0501 * CHOOSE(CONTROL!$C$15, $D$11, 100%, $F$11)</f>
        <v>7.0500999999999996</v>
      </c>
      <c r="G222" s="8">
        <f>5.9111 * CHOOSE( CONTROL!$C$15, $D$11, 100%, $F$11)</f>
        <v>5.9111000000000002</v>
      </c>
      <c r="H222" s="4">
        <f>6.796 * CHOOSE(CONTROL!$C$15, $D$11, 100%, $F$11)</f>
        <v>6.7960000000000003</v>
      </c>
      <c r="I222" s="8">
        <f>5.8786 * CHOOSE(CONTROL!$C$15, $D$11, 100%, $F$11)</f>
        <v>5.8785999999999996</v>
      </c>
      <c r="J222" s="4">
        <f>5.778 * CHOOSE(CONTROL!$C$15, $D$11, 100%, $F$11)</f>
        <v>5.7779999999999996</v>
      </c>
      <c r="K222" s="4"/>
      <c r="L222" s="9">
        <v>24.747800000000002</v>
      </c>
      <c r="M222" s="9">
        <v>10.8962</v>
      </c>
      <c r="N222" s="9">
        <v>4.4660000000000002</v>
      </c>
      <c r="O222" s="9">
        <v>0.33829999999999999</v>
      </c>
      <c r="P222" s="9">
        <v>1.1687000000000001</v>
      </c>
      <c r="Q222" s="9">
        <v>27.7956</v>
      </c>
      <c r="R222" s="9"/>
      <c r="S222" s="11"/>
    </row>
    <row r="223" spans="1:19" ht="15.75">
      <c r="A223" s="13">
        <v>48639</v>
      </c>
      <c r="B223" s="8">
        <f>5.9067 * CHOOSE(CONTROL!$C$15, $D$11, 100%, $F$11)</f>
        <v>5.9066999999999998</v>
      </c>
      <c r="C223" s="8">
        <f>5.9171 * CHOOSE(CONTROL!$C$15, $D$11, 100%, $F$11)</f>
        <v>5.9170999999999996</v>
      </c>
      <c r="D223" s="8">
        <f>5.8981 * CHOOSE( CONTROL!$C$15, $D$11, 100%, $F$11)</f>
        <v>5.8981000000000003</v>
      </c>
      <c r="E223" s="12">
        <f>5.9039 * CHOOSE( CONTROL!$C$15, $D$11, 100%, $F$11)</f>
        <v>5.9039000000000001</v>
      </c>
      <c r="F223" s="4">
        <f>6.9056 * CHOOSE(CONTROL!$C$15, $D$11, 100%, $F$11)</f>
        <v>6.9055999999999997</v>
      </c>
      <c r="G223" s="8">
        <f>5.7653 * CHOOSE( CONTROL!$C$15, $D$11, 100%, $F$11)</f>
        <v>5.7652999999999999</v>
      </c>
      <c r="H223" s="4">
        <f>6.6551 * CHOOSE(CONTROL!$C$15, $D$11, 100%, $F$11)</f>
        <v>6.6551</v>
      </c>
      <c r="I223" s="8">
        <f>5.716 * CHOOSE(CONTROL!$C$15, $D$11, 100%, $F$11)</f>
        <v>5.7160000000000002</v>
      </c>
      <c r="J223" s="4">
        <f>5.655 * CHOOSE(CONTROL!$C$15, $D$11, 100%, $F$11)</f>
        <v>5.6550000000000002</v>
      </c>
      <c r="K223" s="4"/>
      <c r="L223" s="9">
        <v>27.3993</v>
      </c>
      <c r="M223" s="9">
        <v>12.063700000000001</v>
      </c>
      <c r="N223" s="9">
        <v>4.9444999999999997</v>
      </c>
      <c r="O223" s="9">
        <v>0.37459999999999999</v>
      </c>
      <c r="P223" s="9">
        <v>1.2939000000000001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5.9964 * CHOOSE(CONTROL!$C$15, $D$11, 100%, $F$11)</f>
        <v>5.9964000000000004</v>
      </c>
      <c r="C224" s="8">
        <f>6.0068 * CHOOSE(CONTROL!$C$15, $D$11, 100%, $F$11)</f>
        <v>6.0068000000000001</v>
      </c>
      <c r="D224" s="8">
        <f>6.0108 * CHOOSE( CONTROL!$C$15, $D$11, 100%, $F$11)</f>
        <v>6.0107999999999997</v>
      </c>
      <c r="E224" s="12">
        <f>6.0083 * CHOOSE( CONTROL!$C$15, $D$11, 100%, $F$11)</f>
        <v>6.0083000000000002</v>
      </c>
      <c r="F224" s="4">
        <f>7.0036 * CHOOSE(CONTROL!$C$15, $D$11, 100%, $F$11)</f>
        <v>7.0035999999999996</v>
      </c>
      <c r="G224" s="8">
        <f>5.8411 * CHOOSE( CONTROL!$C$15, $D$11, 100%, $F$11)</f>
        <v>5.8411</v>
      </c>
      <c r="H224" s="4">
        <f>6.7507 * CHOOSE(CONTROL!$C$15, $D$11, 100%, $F$11)</f>
        <v>6.7507000000000001</v>
      </c>
      <c r="I224" s="8">
        <f>5.7921 * CHOOSE(CONTROL!$C$15, $D$11, 100%, $F$11)</f>
        <v>5.7920999999999996</v>
      </c>
      <c r="J224" s="4">
        <f>5.741 * CHOOSE(CONTROL!$C$15, $D$11, 100%, $F$11)</f>
        <v>5.7409999999999997</v>
      </c>
      <c r="K224" s="4"/>
      <c r="L224" s="9">
        <v>27.988800000000001</v>
      </c>
      <c r="M224" s="9">
        <v>11.6745</v>
      </c>
      <c r="N224" s="9">
        <v>4.7850000000000001</v>
      </c>
      <c r="O224" s="9">
        <v>0.36249999999999999</v>
      </c>
      <c r="P224" s="9">
        <v>1.1798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CONTROL!$C$32, 6.1613, 6.156) * CHOOSE(CONTROL!$C$15, $D$11, 100%, $F$11)</f>
        <v>6.1612999999999998</v>
      </c>
      <c r="C225" s="8">
        <f>CHOOSE( CONTROL!$C$32, 6.1717, 6.1664) * CHOOSE(CONTROL!$C$15, $D$11, 100%, $F$11)</f>
        <v>6.1717000000000004</v>
      </c>
      <c r="D225" s="8">
        <f>CHOOSE( CONTROL!$C$32, 6.1845, 6.1793) * CHOOSE( CONTROL!$C$15, $D$11, 100%, $F$11)</f>
        <v>6.1844999999999999</v>
      </c>
      <c r="E225" s="12">
        <f>CHOOSE( CONTROL!$C$32, 6.1783, 6.173) * CHOOSE( CONTROL!$C$15, $D$11, 100%, $F$11)</f>
        <v>6.1783000000000001</v>
      </c>
      <c r="F225" s="4">
        <f>CHOOSE( CONTROL!$C$32, 7.1842, 7.1789) * CHOOSE(CONTROL!$C$15, $D$11, 100%, $F$11)</f>
        <v>7.1841999999999997</v>
      </c>
      <c r="G225" s="8">
        <f>CHOOSE( CONTROL!$C$32, 6.0074, 6.0023) * CHOOSE( CONTROL!$C$15, $D$11, 100%, $F$11)</f>
        <v>6.0073999999999996</v>
      </c>
      <c r="H225" s="4">
        <f>CHOOSE( CONTROL!$C$32, 6.9267, 6.9216) * CHOOSE(CONTROL!$C$15, $D$11, 100%, $F$11)</f>
        <v>6.9267000000000003</v>
      </c>
      <c r="I225" s="8">
        <f>CHOOSE( CONTROL!$C$32, 5.9555, 5.9504) * CHOOSE(CONTROL!$C$15, $D$11, 100%, $F$11)</f>
        <v>5.9554999999999998</v>
      </c>
      <c r="J225" s="4">
        <f>CHOOSE( CONTROL!$C$32, 5.899, 5.8939) * CHOOSE(CONTROL!$C$15, $D$11, 100%, $F$11)</f>
        <v>5.899</v>
      </c>
      <c r="K225" s="4"/>
      <c r="L225" s="9">
        <v>29.520499999999998</v>
      </c>
      <c r="M225" s="9">
        <v>12.063700000000001</v>
      </c>
      <c r="N225" s="9">
        <v>4.9444999999999997</v>
      </c>
      <c r="O225" s="9">
        <v>0.37459999999999999</v>
      </c>
      <c r="P225" s="9">
        <v>1.2192000000000001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CONTROL!$C$32, 6.0624, 6.0571) * CHOOSE(CONTROL!$C$15, $D$11, 100%, $F$11)</f>
        <v>6.0624000000000002</v>
      </c>
      <c r="C226" s="8">
        <f>CHOOSE( CONTROL!$C$32, 6.0728, 6.0676) * CHOOSE(CONTROL!$C$15, $D$11, 100%, $F$11)</f>
        <v>6.0728</v>
      </c>
      <c r="D226" s="8">
        <f>CHOOSE( CONTROL!$C$32, 6.0932, 6.088) * CHOOSE( CONTROL!$C$15, $D$11, 100%, $F$11)</f>
        <v>6.0932000000000004</v>
      </c>
      <c r="E226" s="12">
        <f>CHOOSE( CONTROL!$C$32, 6.0842, 6.079) * CHOOSE( CONTROL!$C$15, $D$11, 100%, $F$11)</f>
        <v>6.0842000000000001</v>
      </c>
      <c r="F226" s="4">
        <f>CHOOSE( CONTROL!$C$32, 7.0978, 7.0925) * CHOOSE(CONTROL!$C$15, $D$11, 100%, $F$11)</f>
        <v>7.0978000000000003</v>
      </c>
      <c r="G226" s="8">
        <f>CHOOSE( CONTROL!$C$32, 5.9149, 5.9098) * CHOOSE( CONTROL!$C$15, $D$11, 100%, $F$11)</f>
        <v>5.9149000000000003</v>
      </c>
      <c r="H226" s="4">
        <f>CHOOSE( CONTROL!$C$32, 6.8425, 6.8374) * CHOOSE(CONTROL!$C$15, $D$11, 100%, $F$11)</f>
        <v>6.8425000000000002</v>
      </c>
      <c r="I226" s="8">
        <f>CHOOSE( CONTROL!$C$32, 5.8659, 5.8608) * CHOOSE(CONTROL!$C$15, $D$11, 100%, $F$11)</f>
        <v>5.8658999999999999</v>
      </c>
      <c r="J226" s="4">
        <f>CHOOSE( CONTROL!$C$32, 5.8042, 5.7992) * CHOOSE(CONTROL!$C$15, $D$11, 100%, $F$11)</f>
        <v>5.8041999999999998</v>
      </c>
      <c r="K226" s="4"/>
      <c r="L226" s="9">
        <v>28.568200000000001</v>
      </c>
      <c r="M226" s="9">
        <v>11.6745</v>
      </c>
      <c r="N226" s="9">
        <v>4.7850000000000001</v>
      </c>
      <c r="O226" s="9">
        <v>0.36249999999999999</v>
      </c>
      <c r="P226" s="9">
        <v>1.1798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CONTROL!$C$32, 6.3228, 6.3175) * CHOOSE(CONTROL!$C$15, $D$11, 100%, $F$11)</f>
        <v>6.3228</v>
      </c>
      <c r="C227" s="8">
        <f>CHOOSE( CONTROL!$C$32, 6.3332, 6.328) * CHOOSE(CONTROL!$C$15, $D$11, 100%, $F$11)</f>
        <v>6.3331999999999997</v>
      </c>
      <c r="D227" s="8">
        <f>CHOOSE( CONTROL!$C$32, 6.3438, 6.3386) * CHOOSE( CONTROL!$C$15, $D$11, 100%, $F$11)</f>
        <v>6.3437999999999999</v>
      </c>
      <c r="E227" s="12">
        <f>CHOOSE( CONTROL!$C$32, 6.3384, 6.3332) * CHOOSE( CONTROL!$C$15, $D$11, 100%, $F$11)</f>
        <v>6.3384</v>
      </c>
      <c r="F227" s="4">
        <f>CHOOSE( CONTROL!$C$32, 7.3582, 7.353) * CHOOSE(CONTROL!$C$15, $D$11, 100%, $F$11)</f>
        <v>7.3582000000000001</v>
      </c>
      <c r="G227" s="8">
        <f>CHOOSE( CONTROL!$C$32, 6.1555, 6.1504) * CHOOSE( CONTROL!$C$15, $D$11, 100%, $F$11)</f>
        <v>6.1555</v>
      </c>
      <c r="H227" s="4">
        <f>CHOOSE( CONTROL!$C$32, 7.0963, 7.0912) * CHOOSE(CONTROL!$C$15, $D$11, 100%, $F$11)</f>
        <v>7.0963000000000003</v>
      </c>
      <c r="I227" s="8">
        <f>CHOOSE( CONTROL!$C$32, 6.1189, 6.1139) * CHOOSE(CONTROL!$C$15, $D$11, 100%, $F$11)</f>
        <v>6.1189</v>
      </c>
      <c r="J227" s="4">
        <f>CHOOSE( CONTROL!$C$32, 6.0538, 6.0487) * CHOOSE(CONTROL!$C$15, $D$11, 100%, $F$11)</f>
        <v>6.0537999999999998</v>
      </c>
      <c r="K227" s="4"/>
      <c r="L227" s="9">
        <v>29.520499999999998</v>
      </c>
      <c r="M227" s="9">
        <v>12.063700000000001</v>
      </c>
      <c r="N227" s="9">
        <v>4.9444999999999997</v>
      </c>
      <c r="O227" s="9">
        <v>0.37459999999999999</v>
      </c>
      <c r="P227" s="9">
        <v>1.2192000000000001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CONTROL!$C$32, 5.8355, 5.8303) * CHOOSE(CONTROL!$C$15, $D$11, 100%, $F$11)</f>
        <v>5.8354999999999997</v>
      </c>
      <c r="C228" s="8">
        <f>CHOOSE( CONTROL!$C$32, 5.846, 5.8407) * CHOOSE(CONTROL!$C$15, $D$11, 100%, $F$11)</f>
        <v>5.8460000000000001</v>
      </c>
      <c r="D228" s="8">
        <f>CHOOSE( CONTROL!$C$32, 5.8569, 5.8516) * CHOOSE( CONTROL!$C$15, $D$11, 100%, $F$11)</f>
        <v>5.8569000000000004</v>
      </c>
      <c r="E228" s="12">
        <f>CHOOSE( CONTROL!$C$32, 5.8513, 5.8461) * CHOOSE( CONTROL!$C$15, $D$11, 100%, $F$11)</f>
        <v>5.8513000000000002</v>
      </c>
      <c r="F228" s="4">
        <f>CHOOSE( CONTROL!$C$32, 6.8709, 6.8657) * CHOOSE(CONTROL!$C$15, $D$11, 100%, $F$11)</f>
        <v>6.8708999999999998</v>
      </c>
      <c r="G228" s="8">
        <f>CHOOSE( CONTROL!$C$32, 5.681, 5.6759) * CHOOSE( CONTROL!$C$15, $D$11, 100%, $F$11)</f>
        <v>5.681</v>
      </c>
      <c r="H228" s="4">
        <f>CHOOSE( CONTROL!$C$32, 6.6214, 6.6162) * CHOOSE(CONTROL!$C$15, $D$11, 100%, $F$11)</f>
        <v>6.6214000000000004</v>
      </c>
      <c r="I228" s="8">
        <f>CHOOSE( CONTROL!$C$32, 5.6534, 5.6484) * CHOOSE(CONTROL!$C$15, $D$11, 100%, $F$11)</f>
        <v>5.6534000000000004</v>
      </c>
      <c r="J228" s="4">
        <f>CHOOSE( CONTROL!$C$32, 5.5868, 5.5818) * CHOOSE(CONTROL!$C$15, $D$11, 100%, $F$11)</f>
        <v>5.5868000000000002</v>
      </c>
      <c r="K228" s="4"/>
      <c r="L228" s="9">
        <v>29.520499999999998</v>
      </c>
      <c r="M228" s="9">
        <v>12.063700000000001</v>
      </c>
      <c r="N228" s="9">
        <v>4.9444999999999997</v>
      </c>
      <c r="O228" s="9">
        <v>0.37459999999999999</v>
      </c>
      <c r="P228" s="9">
        <v>1.2192000000000001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CONTROL!$C$32, 5.7135, 5.7082) * CHOOSE(CONTROL!$C$15, $D$11, 100%, $F$11)</f>
        <v>5.7134999999999998</v>
      </c>
      <c r="C229" s="8">
        <f>CHOOSE( CONTROL!$C$32, 5.7239, 5.7187) * CHOOSE(CONTROL!$C$15, $D$11, 100%, $F$11)</f>
        <v>5.7239000000000004</v>
      </c>
      <c r="D229" s="8">
        <f>CHOOSE( CONTROL!$C$32, 5.735, 5.7298) * CHOOSE( CONTROL!$C$15, $D$11, 100%, $F$11)</f>
        <v>5.7350000000000003</v>
      </c>
      <c r="E229" s="12">
        <f>CHOOSE( CONTROL!$C$32, 5.7294, 5.7242) * CHOOSE( CONTROL!$C$15, $D$11, 100%, $F$11)</f>
        <v>5.7294</v>
      </c>
      <c r="F229" s="4">
        <f>CHOOSE( CONTROL!$C$32, 6.7489, 6.7437) * CHOOSE(CONTROL!$C$15, $D$11, 100%, $F$11)</f>
        <v>6.7488999999999999</v>
      </c>
      <c r="G229" s="8">
        <f>CHOOSE( CONTROL!$C$32, 5.5623, 5.5571) * CHOOSE( CONTROL!$C$15, $D$11, 100%, $F$11)</f>
        <v>5.5622999999999996</v>
      </c>
      <c r="H229" s="4">
        <f>CHOOSE( CONTROL!$C$32, 6.5024, 6.4973) * CHOOSE(CONTROL!$C$15, $D$11, 100%, $F$11)</f>
        <v>6.5023999999999997</v>
      </c>
      <c r="I229" s="8">
        <f>CHOOSE( CONTROL!$C$32, 5.5371, 5.5321) * CHOOSE(CONTROL!$C$15, $D$11, 100%, $F$11)</f>
        <v>5.5370999999999997</v>
      </c>
      <c r="J229" s="4">
        <f>CHOOSE( CONTROL!$C$32, 5.4699, 5.4649) * CHOOSE(CONTROL!$C$15, $D$11, 100%, $F$11)</f>
        <v>5.4699</v>
      </c>
      <c r="K229" s="4"/>
      <c r="L229" s="9">
        <v>28.568200000000001</v>
      </c>
      <c r="M229" s="9">
        <v>11.6745</v>
      </c>
      <c r="N229" s="9">
        <v>4.7850000000000001</v>
      </c>
      <c r="O229" s="9">
        <v>0.36249999999999999</v>
      </c>
      <c r="P229" s="9">
        <v>1.1798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5.9616 * CHOOSE(CONTROL!$C$15, $D$11, 100%, $F$11)</f>
        <v>5.9615999999999998</v>
      </c>
      <c r="C230" s="8">
        <f>5.972 * CHOOSE(CONTROL!$C$15, $D$11, 100%, $F$11)</f>
        <v>5.9720000000000004</v>
      </c>
      <c r="D230" s="8">
        <f>5.9844 * CHOOSE( CONTROL!$C$15, $D$11, 100%, $F$11)</f>
        <v>5.9843999999999999</v>
      </c>
      <c r="E230" s="12">
        <f>5.9792 * CHOOSE( CONTROL!$C$15, $D$11, 100%, $F$11)</f>
        <v>5.9791999999999996</v>
      </c>
      <c r="F230" s="4">
        <f>6.997 * CHOOSE(CONTROL!$C$15, $D$11, 100%, $F$11)</f>
        <v>6.9969999999999999</v>
      </c>
      <c r="G230" s="8">
        <f>5.8035 * CHOOSE( CONTROL!$C$15, $D$11, 100%, $F$11)</f>
        <v>5.8034999999999997</v>
      </c>
      <c r="H230" s="4">
        <f>6.7443 * CHOOSE(CONTROL!$C$15, $D$11, 100%, $F$11)</f>
        <v>6.7443</v>
      </c>
      <c r="I230" s="8">
        <f>5.7764 * CHOOSE(CONTROL!$C$15, $D$11, 100%, $F$11)</f>
        <v>5.7763999999999998</v>
      </c>
      <c r="J230" s="4">
        <f>5.7076 * CHOOSE(CONTROL!$C$15, $D$11, 100%, $F$11)</f>
        <v>5.7076000000000002</v>
      </c>
      <c r="K230" s="4"/>
      <c r="L230" s="9">
        <v>28.921800000000001</v>
      </c>
      <c r="M230" s="9">
        <v>12.063700000000001</v>
      </c>
      <c r="N230" s="9">
        <v>4.9444999999999997</v>
      </c>
      <c r="O230" s="9">
        <v>0.37459999999999999</v>
      </c>
      <c r="P230" s="9">
        <v>1.2192000000000001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6.4292 * CHOOSE(CONTROL!$C$15, $D$11, 100%, $F$11)</f>
        <v>6.4291999999999998</v>
      </c>
      <c r="C231" s="8">
        <f>6.4397 * CHOOSE(CONTROL!$C$15, $D$11, 100%, $F$11)</f>
        <v>6.4397000000000002</v>
      </c>
      <c r="D231" s="8">
        <f>6.4234 * CHOOSE( CONTROL!$C$15, $D$11, 100%, $F$11)</f>
        <v>6.4234</v>
      </c>
      <c r="E231" s="12">
        <f>6.4282 * CHOOSE( CONTROL!$C$15, $D$11, 100%, $F$11)</f>
        <v>6.4282000000000004</v>
      </c>
      <c r="F231" s="4">
        <f>7.4235 * CHOOSE(CONTROL!$C$15, $D$11, 100%, $F$11)</f>
        <v>7.4234999999999998</v>
      </c>
      <c r="G231" s="8">
        <f>6.2803 * CHOOSE( CONTROL!$C$15, $D$11, 100%, $F$11)</f>
        <v>6.2803000000000004</v>
      </c>
      <c r="H231" s="4">
        <f>7.1599 * CHOOSE(CONTROL!$C$15, $D$11, 100%, $F$11)</f>
        <v>7.1599000000000004</v>
      </c>
      <c r="I231" s="8">
        <f>6.2615 * CHOOSE(CONTROL!$C$15, $D$11, 100%, $F$11)</f>
        <v>6.2614999999999998</v>
      </c>
      <c r="J231" s="4">
        <f>6.1557 * CHOOSE(CONTROL!$C$15, $D$11, 100%, $F$11)</f>
        <v>6.1557000000000004</v>
      </c>
      <c r="K231" s="4"/>
      <c r="L231" s="9">
        <v>26.515499999999999</v>
      </c>
      <c r="M231" s="9">
        <v>11.6745</v>
      </c>
      <c r="N231" s="9">
        <v>4.7850000000000001</v>
      </c>
      <c r="O231" s="9">
        <v>0.36249999999999999</v>
      </c>
      <c r="P231" s="9">
        <v>1.2522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6.4176 * CHOOSE(CONTROL!$C$15, $D$11, 100%, $F$11)</f>
        <v>6.4176000000000002</v>
      </c>
      <c r="C232" s="8">
        <f>6.428 * CHOOSE(CONTROL!$C$15, $D$11, 100%, $F$11)</f>
        <v>6.4279999999999999</v>
      </c>
      <c r="D232" s="8">
        <f>6.414 * CHOOSE( CONTROL!$C$15, $D$11, 100%, $F$11)</f>
        <v>6.4139999999999997</v>
      </c>
      <c r="E232" s="12">
        <f>6.418 * CHOOSE( CONTROL!$C$15, $D$11, 100%, $F$11)</f>
        <v>6.4180000000000001</v>
      </c>
      <c r="F232" s="4">
        <f>7.4118 * CHOOSE(CONTROL!$C$15, $D$11, 100%, $F$11)</f>
        <v>7.4118000000000004</v>
      </c>
      <c r="G232" s="8">
        <f>6.2706 * CHOOSE( CONTROL!$C$15, $D$11, 100%, $F$11)</f>
        <v>6.2706</v>
      </c>
      <c r="H232" s="4">
        <f>7.1485 * CHOOSE(CONTROL!$C$15, $D$11, 100%, $F$11)</f>
        <v>7.1485000000000003</v>
      </c>
      <c r="I232" s="8">
        <f>6.2579 * CHOOSE(CONTROL!$C$15, $D$11, 100%, $F$11)</f>
        <v>6.2579000000000002</v>
      </c>
      <c r="J232" s="4">
        <f>6.1446 * CHOOSE(CONTROL!$C$15, $D$11, 100%, $F$11)</f>
        <v>6.1445999999999996</v>
      </c>
      <c r="K232" s="4"/>
      <c r="L232" s="9">
        <v>27.3993</v>
      </c>
      <c r="M232" s="9">
        <v>12.063700000000001</v>
      </c>
      <c r="N232" s="9">
        <v>4.9444999999999997</v>
      </c>
      <c r="O232" s="9">
        <v>0.37459999999999999</v>
      </c>
      <c r="P232" s="9">
        <v>1.2939000000000001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6.5807 * CHOOSE(CONTROL!$C$15, $D$11, 100%, $F$11)</f>
        <v>6.5807000000000002</v>
      </c>
      <c r="C233" s="8">
        <f>6.5912 * CHOOSE(CONTROL!$C$15, $D$11, 100%, $F$11)</f>
        <v>6.5911999999999997</v>
      </c>
      <c r="D233" s="8">
        <f>6.5905 * CHOOSE( CONTROL!$C$15, $D$11, 100%, $F$11)</f>
        <v>6.5904999999999996</v>
      </c>
      <c r="E233" s="12">
        <f>6.5896 * CHOOSE( CONTROL!$C$15, $D$11, 100%, $F$11)</f>
        <v>6.5895999999999999</v>
      </c>
      <c r="F233" s="4">
        <f>7.6037 * CHOOSE(CONTROL!$C$15, $D$11, 100%, $F$11)</f>
        <v>7.6036999999999999</v>
      </c>
      <c r="G233" s="8">
        <f>6.4433 * CHOOSE( CONTROL!$C$15, $D$11, 100%, $F$11)</f>
        <v>6.4432999999999998</v>
      </c>
      <c r="H233" s="4">
        <f>7.3356 * CHOOSE(CONTROL!$C$15, $D$11, 100%, $F$11)</f>
        <v>7.3356000000000003</v>
      </c>
      <c r="I233" s="8">
        <f>6.4127 * CHOOSE(CONTROL!$C$15, $D$11, 100%, $F$11)</f>
        <v>6.4127000000000001</v>
      </c>
      <c r="J233" s="4">
        <f>6.3009 * CHOOSE(CONTROL!$C$15, $D$11, 100%, $F$11)</f>
        <v>6.3009000000000004</v>
      </c>
      <c r="K233" s="4"/>
      <c r="L233" s="9">
        <v>27.3993</v>
      </c>
      <c r="M233" s="9">
        <v>12.063700000000001</v>
      </c>
      <c r="N233" s="9">
        <v>4.9444999999999997</v>
      </c>
      <c r="O233" s="9">
        <v>0.37459999999999999</v>
      </c>
      <c r="P233" s="9">
        <v>1.2939000000000001</v>
      </c>
      <c r="Q233" s="9">
        <v>30.7105</v>
      </c>
      <c r="R233" s="9"/>
      <c r="S233" s="11"/>
    </row>
    <row r="234" spans="1:19" ht="15.75">
      <c r="A234" s="13">
        <v>48976</v>
      </c>
      <c r="B234" s="8">
        <f>6.1556 * CHOOSE(CONTROL!$C$15, $D$11, 100%, $F$11)</f>
        <v>6.1555999999999997</v>
      </c>
      <c r="C234" s="8">
        <f>6.1661 * CHOOSE(CONTROL!$C$15, $D$11, 100%, $F$11)</f>
        <v>6.1661000000000001</v>
      </c>
      <c r="D234" s="8">
        <f>6.1676 * CHOOSE( CONTROL!$C$15, $D$11, 100%, $F$11)</f>
        <v>6.1676000000000002</v>
      </c>
      <c r="E234" s="12">
        <f>6.1659 * CHOOSE( CONTROL!$C$15, $D$11, 100%, $F$11)</f>
        <v>6.1658999999999997</v>
      </c>
      <c r="F234" s="4">
        <f>7.1707 * CHOOSE(CONTROL!$C$15, $D$11, 100%, $F$11)</f>
        <v>7.1707000000000001</v>
      </c>
      <c r="G234" s="8">
        <f>6.0287 * CHOOSE( CONTROL!$C$15, $D$11, 100%, $F$11)</f>
        <v>6.0286999999999997</v>
      </c>
      <c r="H234" s="4">
        <f>6.9136 * CHOOSE(CONTROL!$C$15, $D$11, 100%, $F$11)</f>
        <v>6.9135999999999997</v>
      </c>
      <c r="I234" s="8">
        <f>5.9942 * CHOOSE(CONTROL!$C$15, $D$11, 100%, $F$11)</f>
        <v>5.9942000000000002</v>
      </c>
      <c r="J234" s="4">
        <f>5.8936 * CHOOSE(CONTROL!$C$15, $D$11, 100%, $F$11)</f>
        <v>5.8936000000000002</v>
      </c>
      <c r="K234" s="4"/>
      <c r="L234" s="9">
        <v>24.747800000000002</v>
      </c>
      <c r="M234" s="9">
        <v>10.8962</v>
      </c>
      <c r="N234" s="9">
        <v>4.4660000000000002</v>
      </c>
      <c r="O234" s="9">
        <v>0.33829999999999999</v>
      </c>
      <c r="P234" s="9">
        <v>1.1687000000000001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6.0247 * CHOOSE(CONTROL!$C$15, $D$11, 100%, $F$11)</f>
        <v>6.0247000000000002</v>
      </c>
      <c r="C235" s="8">
        <f>6.0351 * CHOOSE(CONTROL!$C$15, $D$11, 100%, $F$11)</f>
        <v>6.0350999999999999</v>
      </c>
      <c r="D235" s="8">
        <f>6.0162 * CHOOSE( CONTROL!$C$15, $D$11, 100%, $F$11)</f>
        <v>6.0162000000000004</v>
      </c>
      <c r="E235" s="12">
        <f>6.022 * CHOOSE( CONTROL!$C$15, $D$11, 100%, $F$11)</f>
        <v>6.0220000000000002</v>
      </c>
      <c r="F235" s="4">
        <f>7.0236 * CHOOSE(CONTROL!$C$15, $D$11, 100%, $F$11)</f>
        <v>7.0236000000000001</v>
      </c>
      <c r="G235" s="8">
        <f>5.8803 * CHOOSE( CONTROL!$C$15, $D$11, 100%, $F$11)</f>
        <v>5.8803000000000001</v>
      </c>
      <c r="H235" s="4">
        <f>6.7702 * CHOOSE(CONTROL!$C$15, $D$11, 100%, $F$11)</f>
        <v>6.7702</v>
      </c>
      <c r="I235" s="8">
        <f>5.8291 * CHOOSE(CONTROL!$C$15, $D$11, 100%, $F$11)</f>
        <v>5.8291000000000004</v>
      </c>
      <c r="J235" s="4">
        <f>5.7681 * CHOOSE(CONTROL!$C$15, $D$11, 100%, $F$11)</f>
        <v>5.7680999999999996</v>
      </c>
      <c r="K235" s="4"/>
      <c r="L235" s="9">
        <v>27.3993</v>
      </c>
      <c r="M235" s="9">
        <v>12.063700000000001</v>
      </c>
      <c r="N235" s="9">
        <v>4.9444999999999997</v>
      </c>
      <c r="O235" s="9">
        <v>0.37459999999999999</v>
      </c>
      <c r="P235" s="9">
        <v>1.2939000000000001</v>
      </c>
      <c r="Q235" s="9">
        <v>30.7105</v>
      </c>
      <c r="R235" s="9"/>
      <c r="S235" s="11"/>
    </row>
    <row r="236" spans="1:19" ht="15.75">
      <c r="A236" s="13">
        <v>49035</v>
      </c>
      <c r="B236" s="8">
        <f>6.1162 * CHOOSE(CONTROL!$C$15, $D$11, 100%, $F$11)</f>
        <v>6.1162000000000001</v>
      </c>
      <c r="C236" s="8">
        <f>6.1266 * CHOOSE(CONTROL!$C$15, $D$11, 100%, $F$11)</f>
        <v>6.1265999999999998</v>
      </c>
      <c r="D236" s="8">
        <f>6.1307 * CHOOSE( CONTROL!$C$15, $D$11, 100%, $F$11)</f>
        <v>6.1307</v>
      </c>
      <c r="E236" s="12">
        <f>6.1282 * CHOOSE( CONTROL!$C$15, $D$11, 100%, $F$11)</f>
        <v>6.1281999999999996</v>
      </c>
      <c r="F236" s="4">
        <f>7.1234 * CHOOSE(CONTROL!$C$15, $D$11, 100%, $F$11)</f>
        <v>7.1234000000000002</v>
      </c>
      <c r="G236" s="8">
        <f>5.9579 * CHOOSE( CONTROL!$C$15, $D$11, 100%, $F$11)</f>
        <v>5.9579000000000004</v>
      </c>
      <c r="H236" s="4">
        <f>6.8675 * CHOOSE(CONTROL!$C$15, $D$11, 100%, $F$11)</f>
        <v>6.8674999999999997</v>
      </c>
      <c r="I236" s="8">
        <f>5.9069 * CHOOSE(CONTROL!$C$15, $D$11, 100%, $F$11)</f>
        <v>5.9069000000000003</v>
      </c>
      <c r="J236" s="4">
        <f>5.8558 * CHOOSE(CONTROL!$C$15, $D$11, 100%, $F$11)</f>
        <v>5.8558000000000003</v>
      </c>
      <c r="K236" s="4"/>
      <c r="L236" s="9">
        <v>27.988800000000001</v>
      </c>
      <c r="M236" s="9">
        <v>11.6745</v>
      </c>
      <c r="N236" s="9">
        <v>4.7850000000000001</v>
      </c>
      <c r="O236" s="9">
        <v>0.36249999999999999</v>
      </c>
      <c r="P236" s="9">
        <v>1.1798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CONTROL!$C$32, 6.2843, 6.279) * CHOOSE(CONTROL!$C$15, $D$11, 100%, $F$11)</f>
        <v>6.2843</v>
      </c>
      <c r="C237" s="8">
        <f>CHOOSE( CONTROL!$C$32, 6.2947, 6.2895) * CHOOSE(CONTROL!$C$15, $D$11, 100%, $F$11)</f>
        <v>6.2946999999999997</v>
      </c>
      <c r="D237" s="8">
        <f>CHOOSE( CONTROL!$C$32, 6.3076, 6.3023) * CHOOSE( CONTROL!$C$15, $D$11, 100%, $F$11)</f>
        <v>6.3075999999999999</v>
      </c>
      <c r="E237" s="12">
        <f>CHOOSE( CONTROL!$C$32, 6.3013, 6.2961) * CHOOSE( CONTROL!$C$15, $D$11, 100%, $F$11)</f>
        <v>6.3013000000000003</v>
      </c>
      <c r="F237" s="4">
        <f>CHOOSE( CONTROL!$C$32, 7.3072, 7.3019) * CHOOSE(CONTROL!$C$15, $D$11, 100%, $F$11)</f>
        <v>7.3071999999999999</v>
      </c>
      <c r="G237" s="8">
        <f>CHOOSE( CONTROL!$C$32, 6.1273, 6.1222) * CHOOSE( CONTROL!$C$15, $D$11, 100%, $F$11)</f>
        <v>6.1273</v>
      </c>
      <c r="H237" s="4">
        <f>CHOOSE( CONTROL!$C$32, 7.0466, 7.0415) * CHOOSE(CONTROL!$C$15, $D$11, 100%, $F$11)</f>
        <v>7.0465999999999998</v>
      </c>
      <c r="I237" s="8">
        <f>CHOOSE( CONTROL!$C$32, 6.0734, 6.0684) * CHOOSE(CONTROL!$C$15, $D$11, 100%, $F$11)</f>
        <v>6.0734000000000004</v>
      </c>
      <c r="J237" s="4">
        <f>CHOOSE( CONTROL!$C$32, 6.0168, 6.0118) * CHOOSE(CONTROL!$C$15, $D$11, 100%, $F$11)</f>
        <v>6.0167999999999999</v>
      </c>
      <c r="K237" s="4"/>
      <c r="L237" s="9">
        <v>29.520499999999998</v>
      </c>
      <c r="M237" s="9">
        <v>12.063700000000001</v>
      </c>
      <c r="N237" s="9">
        <v>4.9444999999999997</v>
      </c>
      <c r="O237" s="9">
        <v>0.37459999999999999</v>
      </c>
      <c r="P237" s="9">
        <v>1.2192000000000001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CONTROL!$C$32, 6.1834, 6.1782) * CHOOSE(CONTROL!$C$15, $D$11, 100%, $F$11)</f>
        <v>6.1833999999999998</v>
      </c>
      <c r="C238" s="8">
        <f>CHOOSE( CONTROL!$C$32, 6.1939, 6.1886) * CHOOSE(CONTROL!$C$15, $D$11, 100%, $F$11)</f>
        <v>6.1939000000000002</v>
      </c>
      <c r="D238" s="8">
        <f>CHOOSE( CONTROL!$C$32, 6.2143, 6.209) * CHOOSE( CONTROL!$C$15, $D$11, 100%, $F$11)</f>
        <v>6.2142999999999997</v>
      </c>
      <c r="E238" s="12">
        <f>CHOOSE( CONTROL!$C$32, 6.2053, 6.2) * CHOOSE( CONTROL!$C$15, $D$11, 100%, $F$11)</f>
        <v>6.2053000000000003</v>
      </c>
      <c r="F238" s="4">
        <f>CHOOSE( CONTROL!$C$32, 7.2188, 7.2136) * CHOOSE(CONTROL!$C$15, $D$11, 100%, $F$11)</f>
        <v>7.2187999999999999</v>
      </c>
      <c r="G238" s="8">
        <f>CHOOSE( CONTROL!$C$32, 6.0329, 6.0277) * CHOOSE( CONTROL!$C$15, $D$11, 100%, $F$11)</f>
        <v>6.0328999999999997</v>
      </c>
      <c r="H238" s="4">
        <f>CHOOSE( CONTROL!$C$32, 6.9605, 6.9554) * CHOOSE(CONTROL!$C$15, $D$11, 100%, $F$11)</f>
        <v>6.9604999999999997</v>
      </c>
      <c r="I238" s="8">
        <f>CHOOSE( CONTROL!$C$32, 5.9819, 5.9769) * CHOOSE(CONTROL!$C$15, $D$11, 100%, $F$11)</f>
        <v>5.9819000000000004</v>
      </c>
      <c r="J238" s="4">
        <f>CHOOSE( CONTROL!$C$32, 5.9202, 5.9152) * CHOOSE(CONTROL!$C$15, $D$11, 100%, $F$11)</f>
        <v>5.9202000000000004</v>
      </c>
      <c r="K238" s="4"/>
      <c r="L238" s="9">
        <v>28.568200000000001</v>
      </c>
      <c r="M238" s="9">
        <v>11.6745</v>
      </c>
      <c r="N238" s="9">
        <v>4.7850000000000001</v>
      </c>
      <c r="O238" s="9">
        <v>0.36249999999999999</v>
      </c>
      <c r="P238" s="9">
        <v>1.1798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CONTROL!$C$32, 6.4491, 6.4438) * CHOOSE(CONTROL!$C$15, $D$11, 100%, $F$11)</f>
        <v>6.4490999999999996</v>
      </c>
      <c r="C239" s="8">
        <f>CHOOSE( CONTROL!$C$32, 6.4595, 6.4542) * CHOOSE(CONTROL!$C$15, $D$11, 100%, $F$11)</f>
        <v>6.4595000000000002</v>
      </c>
      <c r="D239" s="8">
        <f>CHOOSE( CONTROL!$C$32, 6.4701, 6.4648) * CHOOSE( CONTROL!$C$15, $D$11, 100%, $F$11)</f>
        <v>6.4701000000000004</v>
      </c>
      <c r="E239" s="12">
        <f>CHOOSE( CONTROL!$C$32, 6.4647, 6.4594) * CHOOSE( CONTROL!$C$15, $D$11, 100%, $F$11)</f>
        <v>6.4646999999999997</v>
      </c>
      <c r="F239" s="4">
        <f>CHOOSE( CONTROL!$C$32, 7.4845, 7.4792) * CHOOSE(CONTROL!$C$15, $D$11, 100%, $F$11)</f>
        <v>7.4844999999999997</v>
      </c>
      <c r="G239" s="8">
        <f>CHOOSE( CONTROL!$C$32, 6.2786, 6.2734) * CHOOSE( CONTROL!$C$15, $D$11, 100%, $F$11)</f>
        <v>6.2786</v>
      </c>
      <c r="H239" s="4">
        <f>CHOOSE( CONTROL!$C$32, 7.2194, 7.2143) * CHOOSE(CONTROL!$C$15, $D$11, 100%, $F$11)</f>
        <v>7.2194000000000003</v>
      </c>
      <c r="I239" s="8">
        <f>CHOOSE( CONTROL!$C$32, 6.24, 6.2349) * CHOOSE(CONTROL!$C$15, $D$11, 100%, $F$11)</f>
        <v>6.24</v>
      </c>
      <c r="J239" s="4">
        <f>CHOOSE( CONTROL!$C$32, 6.1747, 6.1697) * CHOOSE(CONTROL!$C$15, $D$11, 100%, $F$11)</f>
        <v>6.1746999999999996</v>
      </c>
      <c r="K239" s="4"/>
      <c r="L239" s="9">
        <v>29.520499999999998</v>
      </c>
      <c r="M239" s="9">
        <v>12.063700000000001</v>
      </c>
      <c r="N239" s="9">
        <v>4.9444999999999997</v>
      </c>
      <c r="O239" s="9">
        <v>0.37459999999999999</v>
      </c>
      <c r="P239" s="9">
        <v>1.2192000000000001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CONTROL!$C$32, 5.952, 5.9468) * CHOOSE(CONTROL!$C$15, $D$11, 100%, $F$11)</f>
        <v>5.952</v>
      </c>
      <c r="C240" s="8">
        <f>CHOOSE( CONTROL!$C$32, 5.9625, 5.9572) * CHOOSE(CONTROL!$C$15, $D$11, 100%, $F$11)</f>
        <v>5.9625000000000004</v>
      </c>
      <c r="D240" s="8">
        <f>CHOOSE( CONTROL!$C$32, 5.9734, 5.9681) * CHOOSE( CONTROL!$C$15, $D$11, 100%, $F$11)</f>
        <v>5.9733999999999998</v>
      </c>
      <c r="E240" s="12">
        <f>CHOOSE( CONTROL!$C$32, 5.9678, 5.9626) * CHOOSE( CONTROL!$C$15, $D$11, 100%, $F$11)</f>
        <v>5.9678000000000004</v>
      </c>
      <c r="F240" s="4">
        <f>CHOOSE( CONTROL!$C$32, 6.9875, 6.9822) * CHOOSE(CONTROL!$C$15, $D$11, 100%, $F$11)</f>
        <v>6.9874999999999998</v>
      </c>
      <c r="G240" s="8">
        <f>CHOOSE( CONTROL!$C$32, 5.7946, 5.7894) * CHOOSE( CONTROL!$C$15, $D$11, 100%, $F$11)</f>
        <v>5.7946</v>
      </c>
      <c r="H240" s="4">
        <f>CHOOSE( CONTROL!$C$32, 6.7349, 6.7298) * CHOOSE(CONTROL!$C$15, $D$11, 100%, $F$11)</f>
        <v>6.7348999999999997</v>
      </c>
      <c r="I240" s="8">
        <f>CHOOSE( CONTROL!$C$32, 5.7651, 5.76) * CHOOSE(CONTROL!$C$15, $D$11, 100%, $F$11)</f>
        <v>5.7651000000000003</v>
      </c>
      <c r="J240" s="4">
        <f>CHOOSE( CONTROL!$C$32, 5.6985, 5.6934) * CHOOSE(CONTROL!$C$15, $D$11, 100%, $F$11)</f>
        <v>5.6985000000000001</v>
      </c>
      <c r="K240" s="4"/>
      <c r="L240" s="9">
        <v>29.520499999999998</v>
      </c>
      <c r="M240" s="9">
        <v>12.063700000000001</v>
      </c>
      <c r="N240" s="9">
        <v>4.9444999999999997</v>
      </c>
      <c r="O240" s="9">
        <v>0.37459999999999999</v>
      </c>
      <c r="P240" s="9">
        <v>1.2192000000000001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CONTROL!$C$32, 5.8276, 5.8223) * CHOOSE(CONTROL!$C$15, $D$11, 100%, $F$11)</f>
        <v>5.8276000000000003</v>
      </c>
      <c r="C241" s="8">
        <f>CHOOSE( CONTROL!$C$32, 5.838, 5.8327) * CHOOSE(CONTROL!$C$15, $D$11, 100%, $F$11)</f>
        <v>5.8380000000000001</v>
      </c>
      <c r="D241" s="8">
        <f>CHOOSE( CONTROL!$C$32, 5.8491, 5.8438) * CHOOSE( CONTROL!$C$15, $D$11, 100%, $F$11)</f>
        <v>5.8491</v>
      </c>
      <c r="E241" s="12">
        <f>CHOOSE( CONTROL!$C$32, 5.8435, 5.8382) * CHOOSE( CONTROL!$C$15, $D$11, 100%, $F$11)</f>
        <v>5.8434999999999997</v>
      </c>
      <c r="F241" s="4">
        <f>CHOOSE( CONTROL!$C$32, 6.863, 6.8577) * CHOOSE(CONTROL!$C$15, $D$11, 100%, $F$11)</f>
        <v>6.8630000000000004</v>
      </c>
      <c r="G241" s="8">
        <f>CHOOSE( CONTROL!$C$32, 5.6734, 5.6683) * CHOOSE( CONTROL!$C$15, $D$11, 100%, $F$11)</f>
        <v>5.6734</v>
      </c>
      <c r="H241" s="4">
        <f>CHOOSE( CONTROL!$C$32, 6.6136, 6.6085) * CHOOSE(CONTROL!$C$15, $D$11, 100%, $F$11)</f>
        <v>6.6135999999999999</v>
      </c>
      <c r="I241" s="8">
        <f>CHOOSE( CONTROL!$C$32, 5.6465, 5.6414) * CHOOSE(CONTROL!$C$15, $D$11, 100%, $F$11)</f>
        <v>5.6464999999999996</v>
      </c>
      <c r="J241" s="4">
        <f>CHOOSE( CONTROL!$C$32, 5.5792, 5.5742) * CHOOSE(CONTROL!$C$15, $D$11, 100%, $F$11)</f>
        <v>5.5792000000000002</v>
      </c>
      <c r="K241" s="4"/>
      <c r="L241" s="9">
        <v>28.568200000000001</v>
      </c>
      <c r="M241" s="9">
        <v>11.6745</v>
      </c>
      <c r="N241" s="9">
        <v>4.7850000000000001</v>
      </c>
      <c r="O241" s="9">
        <v>0.36249999999999999</v>
      </c>
      <c r="P241" s="9">
        <v>1.1798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6.0807 * CHOOSE(CONTROL!$C$15, $D$11, 100%, $F$11)</f>
        <v>6.0807000000000002</v>
      </c>
      <c r="C242" s="8">
        <f>6.0912 * CHOOSE(CONTROL!$C$15, $D$11, 100%, $F$11)</f>
        <v>6.0911999999999997</v>
      </c>
      <c r="D242" s="8">
        <f>6.1035 * CHOOSE( CONTROL!$C$15, $D$11, 100%, $F$11)</f>
        <v>6.1035000000000004</v>
      </c>
      <c r="E242" s="12">
        <f>6.0983 * CHOOSE( CONTROL!$C$15, $D$11, 100%, $F$11)</f>
        <v>6.0983000000000001</v>
      </c>
      <c r="F242" s="4">
        <f>7.1162 * CHOOSE(CONTROL!$C$15, $D$11, 100%, $F$11)</f>
        <v>7.1162000000000001</v>
      </c>
      <c r="G242" s="8">
        <f>5.9196 * CHOOSE( CONTROL!$C$15, $D$11, 100%, $F$11)</f>
        <v>5.9196</v>
      </c>
      <c r="H242" s="4">
        <f>6.8604 * CHOOSE(CONTROL!$C$15, $D$11, 100%, $F$11)</f>
        <v>6.8604000000000003</v>
      </c>
      <c r="I242" s="8">
        <f>5.8906 * CHOOSE(CONTROL!$C$15, $D$11, 100%, $F$11)</f>
        <v>5.8906000000000001</v>
      </c>
      <c r="J242" s="4">
        <f>5.8218 * CHOOSE(CONTROL!$C$15, $D$11, 100%, $F$11)</f>
        <v>5.8217999999999996</v>
      </c>
      <c r="K242" s="4"/>
      <c r="L242" s="9">
        <v>28.921800000000001</v>
      </c>
      <c r="M242" s="9">
        <v>12.063700000000001</v>
      </c>
      <c r="N242" s="9">
        <v>4.9444999999999997</v>
      </c>
      <c r="O242" s="9">
        <v>0.37459999999999999</v>
      </c>
      <c r="P242" s="9">
        <v>1.2192000000000001</v>
      </c>
      <c r="Q242" s="9">
        <v>30.7105</v>
      </c>
      <c r="R242" s="9"/>
      <c r="S242" s="11"/>
    </row>
    <row r="243" spans="1:19" ht="15.75">
      <c r="A243" s="13">
        <v>49249</v>
      </c>
      <c r="B243" s="8">
        <f>6.5577 * CHOOSE(CONTROL!$C$15, $D$11, 100%, $F$11)</f>
        <v>6.5576999999999996</v>
      </c>
      <c r="C243" s="8">
        <f>6.5682 * CHOOSE(CONTROL!$C$15, $D$11, 100%, $F$11)</f>
        <v>6.5682</v>
      </c>
      <c r="D243" s="8">
        <f>6.5519 * CHOOSE( CONTROL!$C$15, $D$11, 100%, $F$11)</f>
        <v>6.5518999999999998</v>
      </c>
      <c r="E243" s="12">
        <f>6.5567 * CHOOSE( CONTROL!$C$15, $D$11, 100%, $F$11)</f>
        <v>6.5567000000000002</v>
      </c>
      <c r="F243" s="4">
        <f>7.5519 * CHOOSE(CONTROL!$C$15, $D$11, 100%, $F$11)</f>
        <v>7.5518999999999998</v>
      </c>
      <c r="G243" s="8">
        <f>6.4055 * CHOOSE( CONTROL!$C$15, $D$11, 100%, $F$11)</f>
        <v>6.4055</v>
      </c>
      <c r="H243" s="4">
        <f>7.2852 * CHOOSE(CONTROL!$C$15, $D$11, 100%, $F$11)</f>
        <v>7.2851999999999997</v>
      </c>
      <c r="I243" s="8">
        <f>6.3847 * CHOOSE(CONTROL!$C$15, $D$11, 100%, $F$11)</f>
        <v>6.3846999999999996</v>
      </c>
      <c r="J243" s="4">
        <f>6.2789 * CHOOSE(CONTROL!$C$15, $D$11, 100%, $F$11)</f>
        <v>6.2789000000000001</v>
      </c>
      <c r="K243" s="4"/>
      <c r="L243" s="9">
        <v>26.515499999999999</v>
      </c>
      <c r="M243" s="9">
        <v>11.6745</v>
      </c>
      <c r="N243" s="9">
        <v>4.7850000000000001</v>
      </c>
      <c r="O243" s="9">
        <v>0.36249999999999999</v>
      </c>
      <c r="P243" s="9">
        <v>1.2522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6.5458 * CHOOSE(CONTROL!$C$15, $D$11, 100%, $F$11)</f>
        <v>6.5457999999999998</v>
      </c>
      <c r="C244" s="8">
        <f>6.5562 * CHOOSE(CONTROL!$C$15, $D$11, 100%, $F$11)</f>
        <v>6.5561999999999996</v>
      </c>
      <c r="D244" s="8">
        <f>6.5423 * CHOOSE( CONTROL!$C$15, $D$11, 100%, $F$11)</f>
        <v>6.5423</v>
      </c>
      <c r="E244" s="12">
        <f>6.5463 * CHOOSE( CONTROL!$C$15, $D$11, 100%, $F$11)</f>
        <v>6.5462999999999996</v>
      </c>
      <c r="F244" s="4">
        <f>7.54 * CHOOSE(CONTROL!$C$15, $D$11, 100%, $F$11)</f>
        <v>7.54</v>
      </c>
      <c r="G244" s="8">
        <f>6.3957 * CHOOSE( CONTROL!$C$15, $D$11, 100%, $F$11)</f>
        <v>6.3956999999999997</v>
      </c>
      <c r="H244" s="4">
        <f>7.2736 * CHOOSE(CONTROL!$C$15, $D$11, 100%, $F$11)</f>
        <v>7.2736000000000001</v>
      </c>
      <c r="I244" s="8">
        <f>6.3809 * CHOOSE(CONTROL!$C$15, $D$11, 100%, $F$11)</f>
        <v>6.3808999999999996</v>
      </c>
      <c r="J244" s="4">
        <f>6.2674 * CHOOSE(CONTROL!$C$15, $D$11, 100%, $F$11)</f>
        <v>6.2674000000000003</v>
      </c>
      <c r="K244" s="4"/>
      <c r="L244" s="9">
        <v>27.3993</v>
      </c>
      <c r="M244" s="9">
        <v>12.063700000000001</v>
      </c>
      <c r="N244" s="9">
        <v>4.9444999999999997</v>
      </c>
      <c r="O244" s="9">
        <v>0.37459999999999999</v>
      </c>
      <c r="P244" s="9">
        <v>1.2939000000000001</v>
      </c>
      <c r="Q244" s="9">
        <v>30.7105</v>
      </c>
      <c r="R244" s="9"/>
      <c r="S244" s="11"/>
    </row>
    <row r="245" spans="1:19" ht="15.75">
      <c r="A245" s="13">
        <v>49310</v>
      </c>
      <c r="B245" s="8">
        <f>6.7123 * CHOOSE(CONTROL!$C$15, $D$11, 100%, $F$11)</f>
        <v>6.7122999999999999</v>
      </c>
      <c r="C245" s="8">
        <f>6.7227 * CHOOSE(CONTROL!$C$15, $D$11, 100%, $F$11)</f>
        <v>6.7226999999999997</v>
      </c>
      <c r="D245" s="8">
        <f>6.722 * CHOOSE( CONTROL!$C$15, $D$11, 100%, $F$11)</f>
        <v>6.7220000000000004</v>
      </c>
      <c r="E245" s="12">
        <f>6.7211 * CHOOSE( CONTROL!$C$15, $D$11, 100%, $F$11)</f>
        <v>6.7210999999999999</v>
      </c>
      <c r="F245" s="4">
        <f>7.7352 * CHOOSE(CONTROL!$C$15, $D$11, 100%, $F$11)</f>
        <v>7.7351999999999999</v>
      </c>
      <c r="G245" s="8">
        <f>6.5715 * CHOOSE( CONTROL!$C$15, $D$11, 100%, $F$11)</f>
        <v>6.5715000000000003</v>
      </c>
      <c r="H245" s="4">
        <f>7.4638 * CHOOSE(CONTROL!$C$15, $D$11, 100%, $F$11)</f>
        <v>7.4638</v>
      </c>
      <c r="I245" s="8">
        <f>6.5387 * CHOOSE(CONTROL!$C$15, $D$11, 100%, $F$11)</f>
        <v>6.5387000000000004</v>
      </c>
      <c r="J245" s="4">
        <f>6.4269 * CHOOSE(CONTROL!$C$15, $D$11, 100%, $F$11)</f>
        <v>6.4268999999999998</v>
      </c>
      <c r="K245" s="4"/>
      <c r="L245" s="9">
        <v>27.3993</v>
      </c>
      <c r="M245" s="9">
        <v>12.063700000000001</v>
      </c>
      <c r="N245" s="9">
        <v>4.9444999999999997</v>
      </c>
      <c r="O245" s="9">
        <v>0.37459999999999999</v>
      </c>
      <c r="P245" s="9">
        <v>1.2939000000000001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6.2786 * CHOOSE(CONTROL!$C$15, $D$11, 100%, $F$11)</f>
        <v>6.2786</v>
      </c>
      <c r="C246" s="8">
        <f>6.2891 * CHOOSE(CONTROL!$C$15, $D$11, 100%, $F$11)</f>
        <v>6.2891000000000004</v>
      </c>
      <c r="D246" s="8">
        <f>6.2906 * CHOOSE( CONTROL!$C$15, $D$11, 100%, $F$11)</f>
        <v>6.2906000000000004</v>
      </c>
      <c r="E246" s="12">
        <f>6.2889 * CHOOSE( CONTROL!$C$15, $D$11, 100%, $F$11)</f>
        <v>6.2888999999999999</v>
      </c>
      <c r="F246" s="4">
        <f>7.2937 * CHOOSE(CONTROL!$C$15, $D$11, 100%, $F$11)</f>
        <v>7.2937000000000003</v>
      </c>
      <c r="G246" s="8">
        <f>6.1486 * CHOOSE( CONTROL!$C$15, $D$11, 100%, $F$11)</f>
        <v>6.1486000000000001</v>
      </c>
      <c r="H246" s="4">
        <f>7.0335 * CHOOSE(CONTROL!$C$15, $D$11, 100%, $F$11)</f>
        <v>7.0335000000000001</v>
      </c>
      <c r="I246" s="8">
        <f>6.1121 * CHOOSE(CONTROL!$C$15, $D$11, 100%, $F$11)</f>
        <v>6.1120999999999999</v>
      </c>
      <c r="J246" s="4">
        <f>6.0114 * CHOOSE(CONTROL!$C$15, $D$11, 100%, $F$11)</f>
        <v>6.0114000000000001</v>
      </c>
      <c r="K246" s="4"/>
      <c r="L246" s="9">
        <v>24.747800000000002</v>
      </c>
      <c r="M246" s="9">
        <v>10.8962</v>
      </c>
      <c r="N246" s="9">
        <v>4.4660000000000002</v>
      </c>
      <c r="O246" s="9">
        <v>0.33829999999999999</v>
      </c>
      <c r="P246" s="9">
        <v>1.1687000000000001</v>
      </c>
      <c r="Q246" s="9">
        <v>27.6797</v>
      </c>
      <c r="R246" s="9"/>
      <c r="S246" s="11"/>
    </row>
    <row r="247" spans="1:19" ht="15.75">
      <c r="A247" s="13">
        <v>49369</v>
      </c>
      <c r="B247" s="8">
        <f>6.1451 * CHOOSE(CONTROL!$C$15, $D$11, 100%, $F$11)</f>
        <v>6.1451000000000002</v>
      </c>
      <c r="C247" s="8">
        <f>6.1555 * CHOOSE(CONTROL!$C$15, $D$11, 100%, $F$11)</f>
        <v>6.1555</v>
      </c>
      <c r="D247" s="8">
        <f>6.1366 * CHOOSE( CONTROL!$C$15, $D$11, 100%, $F$11)</f>
        <v>6.1365999999999996</v>
      </c>
      <c r="E247" s="12">
        <f>6.1424 * CHOOSE( CONTROL!$C$15, $D$11, 100%, $F$11)</f>
        <v>6.1424000000000003</v>
      </c>
      <c r="F247" s="4">
        <f>7.144 * CHOOSE(CONTROL!$C$15, $D$11, 100%, $F$11)</f>
        <v>7.1440000000000001</v>
      </c>
      <c r="G247" s="8">
        <f>5.9977 * CHOOSE( CONTROL!$C$15, $D$11, 100%, $F$11)</f>
        <v>5.9977</v>
      </c>
      <c r="H247" s="4">
        <f>6.8875 * CHOOSE(CONTROL!$C$15, $D$11, 100%, $F$11)</f>
        <v>6.8875000000000002</v>
      </c>
      <c r="I247" s="8">
        <f>5.9446 * CHOOSE(CONTROL!$C$15, $D$11, 100%, $F$11)</f>
        <v>5.9446000000000003</v>
      </c>
      <c r="J247" s="4">
        <f>5.8835 * CHOOSE(CONTROL!$C$15, $D$11, 100%, $F$11)</f>
        <v>5.8834999999999997</v>
      </c>
      <c r="K247" s="4"/>
      <c r="L247" s="9">
        <v>27.3993</v>
      </c>
      <c r="M247" s="9">
        <v>12.063700000000001</v>
      </c>
      <c r="N247" s="9">
        <v>4.9444999999999997</v>
      </c>
      <c r="O247" s="9">
        <v>0.37459999999999999</v>
      </c>
      <c r="P247" s="9">
        <v>1.2939000000000001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6.2384 * CHOOSE(CONTROL!$C$15, $D$11, 100%, $F$11)</f>
        <v>6.2384000000000004</v>
      </c>
      <c r="C248" s="8">
        <f>6.2489 * CHOOSE(CONTROL!$C$15, $D$11, 100%, $F$11)</f>
        <v>6.2488999999999999</v>
      </c>
      <c r="D248" s="8">
        <f>6.2529 * CHOOSE( CONTROL!$C$15, $D$11, 100%, $F$11)</f>
        <v>6.2529000000000003</v>
      </c>
      <c r="E248" s="12">
        <f>6.2504 * CHOOSE( CONTROL!$C$15, $D$11, 100%, $F$11)</f>
        <v>6.2504</v>
      </c>
      <c r="F248" s="4">
        <f>7.2457 * CHOOSE(CONTROL!$C$15, $D$11, 100%, $F$11)</f>
        <v>7.2457000000000003</v>
      </c>
      <c r="G248" s="8">
        <f>6.077 * CHOOSE( CONTROL!$C$15, $D$11, 100%, $F$11)</f>
        <v>6.077</v>
      </c>
      <c r="H248" s="4">
        <f>6.9866 * CHOOSE(CONTROL!$C$15, $D$11, 100%, $F$11)</f>
        <v>6.9866000000000001</v>
      </c>
      <c r="I248" s="8">
        <f>6.0241 * CHOOSE(CONTROL!$C$15, $D$11, 100%, $F$11)</f>
        <v>6.0240999999999998</v>
      </c>
      <c r="J248" s="4">
        <f>5.9729 * CHOOSE(CONTROL!$C$15, $D$11, 100%, $F$11)</f>
        <v>5.9729000000000001</v>
      </c>
      <c r="K248" s="4"/>
      <c r="L248" s="9">
        <v>27.988800000000001</v>
      </c>
      <c r="M248" s="9">
        <v>11.6745</v>
      </c>
      <c r="N248" s="9">
        <v>4.7850000000000001</v>
      </c>
      <c r="O248" s="9">
        <v>0.36249999999999999</v>
      </c>
      <c r="P248" s="9">
        <v>1.1798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CONTROL!$C$32, 6.4098, 6.4045) * CHOOSE(CONTROL!$C$15, $D$11, 100%, $F$11)</f>
        <v>6.4097999999999997</v>
      </c>
      <c r="C249" s="8">
        <f>CHOOSE( CONTROL!$C$32, 6.4202, 6.4149) * CHOOSE(CONTROL!$C$15, $D$11, 100%, $F$11)</f>
        <v>6.4202000000000004</v>
      </c>
      <c r="D249" s="8">
        <f>CHOOSE( CONTROL!$C$32, 6.433, 6.4278) * CHOOSE( CONTROL!$C$15, $D$11, 100%, $F$11)</f>
        <v>6.4329999999999998</v>
      </c>
      <c r="E249" s="12">
        <f>CHOOSE( CONTROL!$C$32, 6.4268, 6.4215) * CHOOSE( CONTROL!$C$15, $D$11, 100%, $F$11)</f>
        <v>6.4268000000000001</v>
      </c>
      <c r="F249" s="4">
        <f>CHOOSE( CONTROL!$C$32, 7.4327, 7.4274) * CHOOSE(CONTROL!$C$15, $D$11, 100%, $F$11)</f>
        <v>7.4326999999999996</v>
      </c>
      <c r="G249" s="8">
        <f>CHOOSE( CONTROL!$C$32, 6.2497, 6.2445) * CHOOSE( CONTROL!$C$15, $D$11, 100%, $F$11)</f>
        <v>6.2496999999999998</v>
      </c>
      <c r="H249" s="4">
        <f>CHOOSE( CONTROL!$C$32, 7.1689, 7.1638) * CHOOSE(CONTROL!$C$15, $D$11, 100%, $F$11)</f>
        <v>7.1688999999999998</v>
      </c>
      <c r="I249" s="8">
        <f>CHOOSE( CONTROL!$C$32, 6.1937, 6.1887) * CHOOSE(CONTROL!$C$15, $D$11, 100%, $F$11)</f>
        <v>6.1936999999999998</v>
      </c>
      <c r="J249" s="4">
        <f>CHOOSE( CONTROL!$C$32, 6.1371, 6.132) * CHOOSE(CONTROL!$C$15, $D$11, 100%, $F$11)</f>
        <v>6.1371000000000002</v>
      </c>
      <c r="K249" s="4"/>
      <c r="L249" s="9">
        <v>29.520499999999998</v>
      </c>
      <c r="M249" s="9">
        <v>12.063700000000001</v>
      </c>
      <c r="N249" s="9">
        <v>4.9444999999999997</v>
      </c>
      <c r="O249" s="9">
        <v>0.37459999999999999</v>
      </c>
      <c r="P249" s="9">
        <v>1.2192000000000001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CONTROL!$C$32, 6.3069, 6.3016) * CHOOSE(CONTROL!$C$15, $D$11, 100%, $F$11)</f>
        <v>6.3068999999999997</v>
      </c>
      <c r="C250" s="8">
        <f>CHOOSE( CONTROL!$C$32, 6.3173, 6.3121) * CHOOSE(CONTROL!$C$15, $D$11, 100%, $F$11)</f>
        <v>6.3173000000000004</v>
      </c>
      <c r="D250" s="8">
        <f>CHOOSE( CONTROL!$C$32, 6.3378, 6.3325) * CHOOSE( CONTROL!$C$15, $D$11, 100%, $F$11)</f>
        <v>6.3377999999999997</v>
      </c>
      <c r="E250" s="12">
        <f>CHOOSE( CONTROL!$C$32, 6.3288, 6.3235) * CHOOSE( CONTROL!$C$15, $D$11, 100%, $F$11)</f>
        <v>6.3288000000000002</v>
      </c>
      <c r="F250" s="4">
        <f>CHOOSE( CONTROL!$C$32, 7.3423, 7.3371) * CHOOSE(CONTROL!$C$15, $D$11, 100%, $F$11)</f>
        <v>7.3422999999999998</v>
      </c>
      <c r="G250" s="8">
        <f>CHOOSE( CONTROL!$C$32, 6.1532, 6.1481) * CHOOSE( CONTROL!$C$15, $D$11, 100%, $F$11)</f>
        <v>6.1532</v>
      </c>
      <c r="H250" s="4">
        <f>CHOOSE( CONTROL!$C$32, 7.0808, 7.0757) * CHOOSE(CONTROL!$C$15, $D$11, 100%, $F$11)</f>
        <v>7.0808</v>
      </c>
      <c r="I250" s="8">
        <f>CHOOSE( CONTROL!$C$32, 6.1003, 6.0952) * CHOOSE(CONTROL!$C$15, $D$11, 100%, $F$11)</f>
        <v>6.1002999999999998</v>
      </c>
      <c r="J250" s="4">
        <f>CHOOSE( CONTROL!$C$32, 6.0385, 6.0335) * CHOOSE(CONTROL!$C$15, $D$11, 100%, $F$11)</f>
        <v>6.0385</v>
      </c>
      <c r="K250" s="4"/>
      <c r="L250" s="9">
        <v>28.568200000000001</v>
      </c>
      <c r="M250" s="9">
        <v>11.6745</v>
      </c>
      <c r="N250" s="9">
        <v>4.7850000000000001</v>
      </c>
      <c r="O250" s="9">
        <v>0.36249999999999999</v>
      </c>
      <c r="P250" s="9">
        <v>1.1798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CONTROL!$C$32, 6.5778, 6.5726) * CHOOSE(CONTROL!$C$15, $D$11, 100%, $F$11)</f>
        <v>6.5777999999999999</v>
      </c>
      <c r="C251" s="8">
        <f>CHOOSE( CONTROL!$C$32, 6.5883, 6.583) * CHOOSE(CONTROL!$C$15, $D$11, 100%, $F$11)</f>
        <v>6.5883000000000003</v>
      </c>
      <c r="D251" s="8">
        <f>CHOOSE( CONTROL!$C$32, 6.5989, 6.5936) * CHOOSE( CONTROL!$C$15, $D$11, 100%, $F$11)</f>
        <v>6.5989000000000004</v>
      </c>
      <c r="E251" s="12">
        <f>CHOOSE( CONTROL!$C$32, 6.5935, 6.5882) * CHOOSE( CONTROL!$C$15, $D$11, 100%, $F$11)</f>
        <v>6.5934999999999997</v>
      </c>
      <c r="F251" s="4">
        <f>CHOOSE( CONTROL!$C$32, 7.6133, 7.608) * CHOOSE(CONTROL!$C$15, $D$11, 100%, $F$11)</f>
        <v>7.6132999999999997</v>
      </c>
      <c r="G251" s="8">
        <f>CHOOSE( CONTROL!$C$32, 6.4041, 6.399) * CHOOSE( CONTROL!$C$15, $D$11, 100%, $F$11)</f>
        <v>6.4040999999999997</v>
      </c>
      <c r="H251" s="4">
        <f>CHOOSE( CONTROL!$C$32, 7.3449, 7.3398) * CHOOSE(CONTROL!$C$15, $D$11, 100%, $F$11)</f>
        <v>7.3449</v>
      </c>
      <c r="I251" s="8">
        <f>CHOOSE( CONTROL!$C$32, 6.3634, 6.3584) * CHOOSE(CONTROL!$C$15, $D$11, 100%, $F$11)</f>
        <v>6.3634000000000004</v>
      </c>
      <c r="J251" s="4">
        <f>CHOOSE( CONTROL!$C$32, 6.2981, 6.2931) * CHOOSE(CONTROL!$C$15, $D$11, 100%, $F$11)</f>
        <v>6.2980999999999998</v>
      </c>
      <c r="K251" s="4"/>
      <c r="L251" s="9">
        <v>29.520499999999998</v>
      </c>
      <c r="M251" s="9">
        <v>12.063700000000001</v>
      </c>
      <c r="N251" s="9">
        <v>4.9444999999999997</v>
      </c>
      <c r="O251" s="9">
        <v>0.37459999999999999</v>
      </c>
      <c r="P251" s="9">
        <v>1.2192000000000001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CONTROL!$C$32, 6.0709, 6.0656) * CHOOSE(CONTROL!$C$15, $D$11, 100%, $F$11)</f>
        <v>6.0709</v>
      </c>
      <c r="C252" s="8">
        <f>CHOOSE( CONTROL!$C$32, 6.0813, 6.076) * CHOOSE(CONTROL!$C$15, $D$11, 100%, $F$11)</f>
        <v>6.0812999999999997</v>
      </c>
      <c r="D252" s="8">
        <f>CHOOSE( CONTROL!$C$32, 6.0922, 6.087) * CHOOSE( CONTROL!$C$15, $D$11, 100%, $F$11)</f>
        <v>6.0922000000000001</v>
      </c>
      <c r="E252" s="12">
        <f>CHOOSE( CONTROL!$C$32, 6.0867, 6.0814) * CHOOSE( CONTROL!$C$15, $D$11, 100%, $F$11)</f>
        <v>6.0867000000000004</v>
      </c>
      <c r="F252" s="4">
        <f>CHOOSE( CONTROL!$C$32, 7.1063, 7.101) * CHOOSE(CONTROL!$C$15, $D$11, 100%, $F$11)</f>
        <v>7.1063000000000001</v>
      </c>
      <c r="G252" s="8">
        <f>CHOOSE( CONTROL!$C$32, 5.9104, 5.9053) * CHOOSE( CONTROL!$C$15, $D$11, 100%, $F$11)</f>
        <v>5.9104000000000001</v>
      </c>
      <c r="H252" s="4">
        <f>CHOOSE( CONTROL!$C$32, 6.8508, 6.8456) * CHOOSE(CONTROL!$C$15, $D$11, 100%, $F$11)</f>
        <v>6.8507999999999996</v>
      </c>
      <c r="I252" s="8">
        <f>CHOOSE( CONTROL!$C$32, 5.879, 5.874) * CHOOSE(CONTROL!$C$15, $D$11, 100%, $F$11)</f>
        <v>5.8789999999999996</v>
      </c>
      <c r="J252" s="4">
        <f>CHOOSE( CONTROL!$C$32, 5.8123, 5.8073) * CHOOSE(CONTROL!$C$15, $D$11, 100%, $F$11)</f>
        <v>5.8122999999999996</v>
      </c>
      <c r="K252" s="4"/>
      <c r="L252" s="9">
        <v>29.520499999999998</v>
      </c>
      <c r="M252" s="9">
        <v>12.063700000000001</v>
      </c>
      <c r="N252" s="9">
        <v>4.9444999999999997</v>
      </c>
      <c r="O252" s="9">
        <v>0.37459999999999999</v>
      </c>
      <c r="P252" s="9">
        <v>1.2192000000000001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CONTROL!$C$32, 5.9439, 5.9386) * CHOOSE(CONTROL!$C$15, $D$11, 100%, $F$11)</f>
        <v>5.9439000000000002</v>
      </c>
      <c r="C253" s="8">
        <f>CHOOSE( CONTROL!$C$32, 5.9543, 5.9491) * CHOOSE(CONTROL!$C$15, $D$11, 100%, $F$11)</f>
        <v>5.9542999999999999</v>
      </c>
      <c r="D253" s="8">
        <f>CHOOSE( CONTROL!$C$32, 5.9654, 5.9602) * CHOOSE( CONTROL!$C$15, $D$11, 100%, $F$11)</f>
        <v>5.9653999999999998</v>
      </c>
      <c r="E253" s="12">
        <f>CHOOSE( CONTROL!$C$32, 5.9598, 5.9546) * CHOOSE( CONTROL!$C$15, $D$11, 100%, $F$11)</f>
        <v>5.9598000000000004</v>
      </c>
      <c r="F253" s="4">
        <f>CHOOSE( CONTROL!$C$32, 6.9793, 6.9741) * CHOOSE(CONTROL!$C$15, $D$11, 100%, $F$11)</f>
        <v>6.9793000000000003</v>
      </c>
      <c r="G253" s="8">
        <f>CHOOSE( CONTROL!$C$32, 5.7869, 5.7817) * CHOOSE( CONTROL!$C$15, $D$11, 100%, $F$11)</f>
        <v>5.7869000000000002</v>
      </c>
      <c r="H253" s="4">
        <f>CHOOSE( CONTROL!$C$32, 6.727, 6.7219) * CHOOSE(CONTROL!$C$15, $D$11, 100%, $F$11)</f>
        <v>6.7270000000000003</v>
      </c>
      <c r="I253" s="8">
        <f>CHOOSE( CONTROL!$C$32, 5.758, 5.753) * CHOOSE(CONTROL!$C$15, $D$11, 100%, $F$11)</f>
        <v>5.758</v>
      </c>
      <c r="J253" s="4">
        <f>CHOOSE( CONTROL!$C$32, 5.6907, 5.6857) * CHOOSE(CONTROL!$C$15, $D$11, 100%, $F$11)</f>
        <v>5.6906999999999996</v>
      </c>
      <c r="K253" s="4"/>
      <c r="L253" s="9">
        <v>28.568200000000001</v>
      </c>
      <c r="M253" s="9">
        <v>11.6745</v>
      </c>
      <c r="N253" s="9">
        <v>4.7850000000000001</v>
      </c>
      <c r="O253" s="9">
        <v>0.36249999999999999</v>
      </c>
      <c r="P253" s="9">
        <v>1.1798</v>
      </c>
      <c r="Q253" s="9">
        <v>29.6568</v>
      </c>
      <c r="R253" s="9"/>
      <c r="S253" s="11"/>
    </row>
    <row r="254" spans="1:19" ht="15.75">
      <c r="A254" s="14">
        <v>49583</v>
      </c>
      <c r="B254" s="8">
        <f>6.2022 * CHOOSE(CONTROL!$C$15, $D$11, 100%, $F$11)</f>
        <v>6.2022000000000004</v>
      </c>
      <c r="C254" s="8">
        <f>6.2127 * CHOOSE(CONTROL!$C$15, $D$11, 100%, $F$11)</f>
        <v>6.2126999999999999</v>
      </c>
      <c r="D254" s="8">
        <f>6.2251 * CHOOSE( CONTROL!$C$15, $D$11, 100%, $F$11)</f>
        <v>6.2251000000000003</v>
      </c>
      <c r="E254" s="12">
        <f>6.2199 * CHOOSE( CONTROL!$C$15, $D$11, 100%, $F$11)</f>
        <v>6.2199</v>
      </c>
      <c r="F254" s="4">
        <f>7.2377 * CHOOSE(CONTROL!$C$15, $D$11, 100%, $F$11)</f>
        <v>7.2377000000000002</v>
      </c>
      <c r="G254" s="8">
        <f>6.038 * CHOOSE( CONTROL!$C$15, $D$11, 100%, $F$11)</f>
        <v>6.0380000000000003</v>
      </c>
      <c r="H254" s="4">
        <f>6.9788 * CHOOSE(CONTROL!$C$15, $D$11, 100%, $F$11)</f>
        <v>6.9787999999999997</v>
      </c>
      <c r="I254" s="8">
        <f>6.0071 * CHOOSE(CONTROL!$C$15, $D$11, 100%, $F$11)</f>
        <v>6.0071000000000003</v>
      </c>
      <c r="J254" s="4">
        <f>5.9382 * CHOOSE(CONTROL!$C$15, $D$11, 100%, $F$11)</f>
        <v>5.9382000000000001</v>
      </c>
      <c r="K254" s="4"/>
      <c r="L254" s="9">
        <v>28.921800000000001</v>
      </c>
      <c r="M254" s="9">
        <v>12.063700000000001</v>
      </c>
      <c r="N254" s="9">
        <v>4.9444999999999997</v>
      </c>
      <c r="O254" s="9">
        <v>0.37459999999999999</v>
      </c>
      <c r="P254" s="9">
        <v>1.2192000000000001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6.6888 * CHOOSE(CONTROL!$C$15, $D$11, 100%, $F$11)</f>
        <v>6.6887999999999996</v>
      </c>
      <c r="C255" s="8">
        <f>6.6992 * CHOOSE(CONTROL!$C$15, $D$11, 100%, $F$11)</f>
        <v>6.6992000000000003</v>
      </c>
      <c r="D255" s="8">
        <f>6.683 * CHOOSE( CONTROL!$C$15, $D$11, 100%, $F$11)</f>
        <v>6.6829999999999998</v>
      </c>
      <c r="E255" s="12">
        <f>6.6878 * CHOOSE( CONTROL!$C$15, $D$11, 100%, $F$11)</f>
        <v>6.6878000000000002</v>
      </c>
      <c r="F255" s="4">
        <f>7.683 * CHOOSE(CONTROL!$C$15, $D$11, 100%, $F$11)</f>
        <v>7.6829999999999998</v>
      </c>
      <c r="G255" s="8">
        <f>6.5333 * CHOOSE( CONTROL!$C$15, $D$11, 100%, $F$11)</f>
        <v>6.5332999999999997</v>
      </c>
      <c r="H255" s="4">
        <f>7.4129 * CHOOSE(CONTROL!$C$15, $D$11, 100%, $F$11)</f>
        <v>7.4128999999999996</v>
      </c>
      <c r="I255" s="8">
        <f>6.5104 * CHOOSE(CONTROL!$C$15, $D$11, 100%, $F$11)</f>
        <v>6.5103999999999997</v>
      </c>
      <c r="J255" s="4">
        <f>6.4044 * CHOOSE(CONTROL!$C$15, $D$11, 100%, $F$11)</f>
        <v>6.4043999999999999</v>
      </c>
      <c r="K255" s="4"/>
      <c r="L255" s="9">
        <v>26.515499999999999</v>
      </c>
      <c r="M255" s="9">
        <v>11.6745</v>
      </c>
      <c r="N255" s="9">
        <v>4.7850000000000001</v>
      </c>
      <c r="O255" s="9">
        <v>0.36249999999999999</v>
      </c>
      <c r="P255" s="9">
        <v>1.2522</v>
      </c>
      <c r="Q255" s="9">
        <v>29.6568</v>
      </c>
      <c r="R255" s="9"/>
      <c r="S255" s="11"/>
    </row>
    <row r="256" spans="1:19" ht="15.75">
      <c r="A256" s="14">
        <v>49644</v>
      </c>
      <c r="B256" s="8">
        <f>6.6766 * CHOOSE(CONTROL!$C$15, $D$11, 100%, $F$11)</f>
        <v>6.6765999999999996</v>
      </c>
      <c r="C256" s="8">
        <f>6.6871 * CHOOSE(CONTROL!$C$15, $D$11, 100%, $F$11)</f>
        <v>6.6871</v>
      </c>
      <c r="D256" s="8">
        <f>6.6731 * CHOOSE( CONTROL!$C$15, $D$11, 100%, $F$11)</f>
        <v>6.6730999999999998</v>
      </c>
      <c r="E256" s="12">
        <f>6.6771 * CHOOSE( CONTROL!$C$15, $D$11, 100%, $F$11)</f>
        <v>6.6771000000000003</v>
      </c>
      <c r="F256" s="4">
        <f>7.6708 * CHOOSE(CONTROL!$C$15, $D$11, 100%, $F$11)</f>
        <v>7.6707999999999998</v>
      </c>
      <c r="G256" s="8">
        <f>6.5232 * CHOOSE( CONTROL!$C$15, $D$11, 100%, $F$11)</f>
        <v>6.5232000000000001</v>
      </c>
      <c r="H256" s="4">
        <f>7.4011 * CHOOSE(CONTROL!$C$15, $D$11, 100%, $F$11)</f>
        <v>7.4010999999999996</v>
      </c>
      <c r="I256" s="8">
        <f>6.5063 * CHOOSE(CONTROL!$C$15, $D$11, 100%, $F$11)</f>
        <v>6.5063000000000004</v>
      </c>
      <c r="J256" s="4">
        <f>6.3928 * CHOOSE(CONTROL!$C$15, $D$11, 100%, $F$11)</f>
        <v>6.3928000000000003</v>
      </c>
      <c r="K256" s="4"/>
      <c r="L256" s="9">
        <v>27.3993</v>
      </c>
      <c r="M256" s="9">
        <v>12.063700000000001</v>
      </c>
      <c r="N256" s="9">
        <v>4.9444999999999997</v>
      </c>
      <c r="O256" s="9">
        <v>0.37459999999999999</v>
      </c>
      <c r="P256" s="9">
        <v>1.2939000000000001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6.9316 * CHOOSE(CONTROL!$C$15, $D$11, 100%, $F$11)</f>
        <v>6.9316000000000004</v>
      </c>
      <c r="C257" s="8">
        <f>6.9421 * CHOOSE(CONTROL!$C$15, $D$11, 100%, $F$11)</f>
        <v>6.9420999999999999</v>
      </c>
      <c r="D257" s="8">
        <f>6.9414 * CHOOSE( CONTROL!$C$15, $D$11, 100%, $F$11)</f>
        <v>6.9413999999999998</v>
      </c>
      <c r="E257" s="12">
        <f>6.9405 * CHOOSE( CONTROL!$C$15, $D$11, 100%, $F$11)</f>
        <v>6.9405000000000001</v>
      </c>
      <c r="F257" s="4">
        <f>7.9545 * CHOOSE(CONTROL!$C$15, $D$11, 100%, $F$11)</f>
        <v>7.9545000000000003</v>
      </c>
      <c r="G257" s="8">
        <f>6.7853 * CHOOSE( CONTROL!$C$15, $D$11, 100%, $F$11)</f>
        <v>6.7853000000000003</v>
      </c>
      <c r="H257" s="4">
        <f>7.6776 * CHOOSE(CONTROL!$C$15, $D$11, 100%, $F$11)</f>
        <v>7.6776</v>
      </c>
      <c r="I257" s="8">
        <f>6.749 * CHOOSE(CONTROL!$C$15, $D$11, 100%, $F$11)</f>
        <v>6.7489999999999997</v>
      </c>
      <c r="J257" s="4">
        <f>6.6371 * CHOOSE(CONTROL!$C$15, $D$11, 100%, $F$11)</f>
        <v>6.6371000000000002</v>
      </c>
      <c r="K257" s="4"/>
      <c r="L257" s="9">
        <v>27.3993</v>
      </c>
      <c r="M257" s="9">
        <v>12.063700000000001</v>
      </c>
      <c r="N257" s="9">
        <v>4.9444999999999997</v>
      </c>
      <c r="O257" s="9">
        <v>0.37459999999999999</v>
      </c>
      <c r="P257" s="9">
        <v>1.2939000000000001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6.4838 * CHOOSE(CONTROL!$C$15, $D$11, 100%, $F$11)</f>
        <v>6.4837999999999996</v>
      </c>
      <c r="C258" s="8">
        <f>6.4943 * CHOOSE(CONTROL!$C$15, $D$11, 100%, $F$11)</f>
        <v>6.4943</v>
      </c>
      <c r="D258" s="8">
        <f>6.4958 * CHOOSE( CONTROL!$C$15, $D$11, 100%, $F$11)</f>
        <v>6.4958</v>
      </c>
      <c r="E258" s="12">
        <f>6.4941 * CHOOSE( CONTROL!$C$15, $D$11, 100%, $F$11)</f>
        <v>6.4941000000000004</v>
      </c>
      <c r="F258" s="4">
        <f>7.4989 * CHOOSE(CONTROL!$C$15, $D$11, 100%, $F$11)</f>
        <v>7.4988999999999999</v>
      </c>
      <c r="G258" s="8">
        <f>6.3486 * CHOOSE( CONTROL!$C$15, $D$11, 100%, $F$11)</f>
        <v>6.3486000000000002</v>
      </c>
      <c r="H258" s="4">
        <f>7.2335 * CHOOSE(CONTROL!$C$15, $D$11, 100%, $F$11)</f>
        <v>7.2335000000000003</v>
      </c>
      <c r="I258" s="8">
        <f>6.3088 * CHOOSE(CONTROL!$C$15, $D$11, 100%, $F$11)</f>
        <v>6.3087999999999997</v>
      </c>
      <c r="J258" s="4">
        <f>6.208 * CHOOSE(CONTROL!$C$15, $D$11, 100%, $F$11)</f>
        <v>6.2080000000000002</v>
      </c>
      <c r="K258" s="4"/>
      <c r="L258" s="9">
        <v>25.631599999999999</v>
      </c>
      <c r="M258" s="9">
        <v>11.285299999999999</v>
      </c>
      <c r="N258" s="9">
        <v>4.6254999999999997</v>
      </c>
      <c r="O258" s="9">
        <v>0.35039999999999999</v>
      </c>
      <c r="P258" s="9">
        <v>1.2104999999999999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6.3459 * CHOOSE(CONTROL!$C$15, $D$11, 100%, $F$11)</f>
        <v>6.3459000000000003</v>
      </c>
      <c r="C259" s="8">
        <f>6.3563 * CHOOSE(CONTROL!$C$15, $D$11, 100%, $F$11)</f>
        <v>6.3563000000000001</v>
      </c>
      <c r="D259" s="8">
        <f>6.3374 * CHOOSE( CONTROL!$C$15, $D$11, 100%, $F$11)</f>
        <v>6.3373999999999997</v>
      </c>
      <c r="E259" s="12">
        <f>6.3432 * CHOOSE( CONTROL!$C$15, $D$11, 100%, $F$11)</f>
        <v>6.3432000000000004</v>
      </c>
      <c r="F259" s="4">
        <f>7.3448 * CHOOSE(CONTROL!$C$15, $D$11, 100%, $F$11)</f>
        <v>7.3448000000000002</v>
      </c>
      <c r="G259" s="8">
        <f>6.1934 * CHOOSE( CONTROL!$C$15, $D$11, 100%, $F$11)</f>
        <v>6.1933999999999996</v>
      </c>
      <c r="H259" s="4">
        <f>7.0833 * CHOOSE(CONTROL!$C$15, $D$11, 100%, $F$11)</f>
        <v>7.0833000000000004</v>
      </c>
      <c r="I259" s="8">
        <f>6.1371 * CHOOSE(CONTROL!$C$15, $D$11, 100%, $F$11)</f>
        <v>6.1371000000000002</v>
      </c>
      <c r="J259" s="4">
        <f>6.0759 * CHOOSE(CONTROL!$C$15, $D$11, 100%, $F$11)</f>
        <v>6.0758999999999999</v>
      </c>
      <c r="K259" s="4"/>
      <c r="L259" s="9">
        <v>27.3993</v>
      </c>
      <c r="M259" s="9">
        <v>12.063700000000001</v>
      </c>
      <c r="N259" s="9">
        <v>4.9444999999999997</v>
      </c>
      <c r="O259" s="9">
        <v>0.37459999999999999</v>
      </c>
      <c r="P259" s="9">
        <v>1.2939000000000001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6.4423 * CHOOSE(CONTROL!$C$15, $D$11, 100%, $F$11)</f>
        <v>6.4423000000000004</v>
      </c>
      <c r="C260" s="8">
        <f>6.4527 * CHOOSE(CONTROL!$C$15, $D$11, 100%, $F$11)</f>
        <v>6.4527000000000001</v>
      </c>
      <c r="D260" s="8">
        <f>6.4567 * CHOOSE( CONTROL!$C$15, $D$11, 100%, $F$11)</f>
        <v>6.4566999999999997</v>
      </c>
      <c r="E260" s="12">
        <f>6.4542 * CHOOSE( CONTROL!$C$15, $D$11, 100%, $F$11)</f>
        <v>6.4542000000000002</v>
      </c>
      <c r="F260" s="4">
        <f>7.4495 * CHOOSE(CONTROL!$C$15, $D$11, 100%, $F$11)</f>
        <v>7.4494999999999996</v>
      </c>
      <c r="G260" s="8">
        <f>6.2757 * CHOOSE( CONTROL!$C$15, $D$11, 100%, $F$11)</f>
        <v>6.2756999999999996</v>
      </c>
      <c r="H260" s="4">
        <f>7.1853 * CHOOSE(CONTROL!$C$15, $D$11, 100%, $F$11)</f>
        <v>7.1852999999999998</v>
      </c>
      <c r="I260" s="8">
        <f>6.2196 * CHOOSE(CONTROL!$C$15, $D$11, 100%, $F$11)</f>
        <v>6.2195999999999998</v>
      </c>
      <c r="J260" s="4">
        <f>6.1682 * CHOOSE(CONTROL!$C$15, $D$11, 100%, $F$11)</f>
        <v>6.1681999999999997</v>
      </c>
      <c r="K260" s="4"/>
      <c r="L260" s="9">
        <v>27.988800000000001</v>
      </c>
      <c r="M260" s="9">
        <v>11.6745</v>
      </c>
      <c r="N260" s="9">
        <v>4.7850000000000001</v>
      </c>
      <c r="O260" s="9">
        <v>0.36249999999999999</v>
      </c>
      <c r="P260" s="9">
        <v>1.1798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CONTROL!$C$32, 6.6191, 6.6138) * CHOOSE(CONTROL!$C$15, $D$11, 100%, $F$11)</f>
        <v>6.6191000000000004</v>
      </c>
      <c r="C261" s="8">
        <f>CHOOSE( CONTROL!$C$32, 6.6295, 6.6242) * CHOOSE(CONTROL!$C$15, $D$11, 100%, $F$11)</f>
        <v>6.6295000000000002</v>
      </c>
      <c r="D261" s="8">
        <f>CHOOSE( CONTROL!$C$32, 6.6423, 6.6371) * CHOOSE( CONTROL!$C$15, $D$11, 100%, $F$11)</f>
        <v>6.6422999999999996</v>
      </c>
      <c r="E261" s="12">
        <f>CHOOSE( CONTROL!$C$32, 6.6361, 6.6308) * CHOOSE( CONTROL!$C$15, $D$11, 100%, $F$11)</f>
        <v>6.6360999999999999</v>
      </c>
      <c r="F261" s="4">
        <f>CHOOSE( CONTROL!$C$32, 7.642, 7.6367) * CHOOSE(CONTROL!$C$15, $D$11, 100%, $F$11)</f>
        <v>7.6420000000000003</v>
      </c>
      <c r="G261" s="8">
        <f>CHOOSE( CONTROL!$C$32, 6.4537, 6.4485) * CHOOSE( CONTROL!$C$15, $D$11, 100%, $F$11)</f>
        <v>6.4537000000000004</v>
      </c>
      <c r="H261" s="4">
        <f>CHOOSE( CONTROL!$C$32, 7.3729, 7.3678) * CHOOSE(CONTROL!$C$15, $D$11, 100%, $F$11)</f>
        <v>7.3728999999999996</v>
      </c>
      <c r="I261" s="8">
        <f>CHOOSE( CONTROL!$C$32, 6.3943, 6.3893) * CHOOSE(CONTROL!$C$15, $D$11, 100%, $F$11)</f>
        <v>6.3943000000000003</v>
      </c>
      <c r="J261" s="4">
        <f>CHOOSE( CONTROL!$C$32, 6.3376, 6.3326) * CHOOSE(CONTROL!$C$15, $D$11, 100%, $F$11)</f>
        <v>6.3376000000000001</v>
      </c>
      <c r="K261" s="4"/>
      <c r="L261" s="9">
        <v>29.520499999999998</v>
      </c>
      <c r="M261" s="9">
        <v>12.063700000000001</v>
      </c>
      <c r="N261" s="9">
        <v>4.9444999999999997</v>
      </c>
      <c r="O261" s="9">
        <v>0.37459999999999999</v>
      </c>
      <c r="P261" s="9">
        <v>1.2192000000000001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CONTROL!$C$32, 6.5128, 6.5075) * CHOOSE(CONTROL!$C$15, $D$11, 100%, $F$11)</f>
        <v>6.5128000000000004</v>
      </c>
      <c r="C262" s="8">
        <f>CHOOSE( CONTROL!$C$32, 6.5232, 6.518) * CHOOSE(CONTROL!$C$15, $D$11, 100%, $F$11)</f>
        <v>6.5232000000000001</v>
      </c>
      <c r="D262" s="8">
        <f>CHOOSE( CONTROL!$C$32, 6.5437, 6.5384) * CHOOSE( CONTROL!$C$15, $D$11, 100%, $F$11)</f>
        <v>6.5437000000000003</v>
      </c>
      <c r="E262" s="12">
        <f>CHOOSE( CONTROL!$C$32, 6.5347, 6.5294) * CHOOSE( CONTROL!$C$15, $D$11, 100%, $F$11)</f>
        <v>6.5347</v>
      </c>
      <c r="F262" s="4">
        <f>CHOOSE( CONTROL!$C$32, 7.5482, 7.543) * CHOOSE(CONTROL!$C$15, $D$11, 100%, $F$11)</f>
        <v>7.5481999999999996</v>
      </c>
      <c r="G262" s="8">
        <f>CHOOSE( CONTROL!$C$32, 6.3539, 6.3488) * CHOOSE( CONTROL!$C$15, $D$11, 100%, $F$11)</f>
        <v>6.3539000000000003</v>
      </c>
      <c r="H262" s="4">
        <f>CHOOSE( CONTROL!$C$32, 7.2816, 7.2764) * CHOOSE(CONTROL!$C$15, $D$11, 100%, $F$11)</f>
        <v>7.2816000000000001</v>
      </c>
      <c r="I262" s="8">
        <f>CHOOSE( CONTROL!$C$32, 6.2977, 6.2927) * CHOOSE(CONTROL!$C$15, $D$11, 100%, $F$11)</f>
        <v>6.2976999999999999</v>
      </c>
      <c r="J262" s="4">
        <f>CHOOSE( CONTROL!$C$32, 6.2358, 6.2308) * CHOOSE(CONTROL!$C$15, $D$11, 100%, $F$11)</f>
        <v>6.2358000000000002</v>
      </c>
      <c r="K262" s="4"/>
      <c r="L262" s="9">
        <v>28.568200000000001</v>
      </c>
      <c r="M262" s="9">
        <v>11.6745</v>
      </c>
      <c r="N262" s="9">
        <v>4.7850000000000001</v>
      </c>
      <c r="O262" s="9">
        <v>0.36249999999999999</v>
      </c>
      <c r="P262" s="9">
        <v>1.1798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CONTROL!$C$32, 6.7926, 6.7874) * CHOOSE(CONTROL!$C$15, $D$11, 100%, $F$11)</f>
        <v>6.7926000000000002</v>
      </c>
      <c r="C263" s="8">
        <f>CHOOSE( CONTROL!$C$32, 6.803, 6.7978) * CHOOSE(CONTROL!$C$15, $D$11, 100%, $F$11)</f>
        <v>6.8029999999999999</v>
      </c>
      <c r="D263" s="8">
        <f>CHOOSE( CONTROL!$C$32, 6.8137, 6.8084) * CHOOSE( CONTROL!$C$15, $D$11, 100%, $F$11)</f>
        <v>6.8136999999999999</v>
      </c>
      <c r="E263" s="12">
        <f>CHOOSE( CONTROL!$C$32, 6.8082, 6.803) * CHOOSE( CONTROL!$C$15, $D$11, 100%, $F$11)</f>
        <v>6.8082000000000003</v>
      </c>
      <c r="F263" s="4">
        <f>CHOOSE( CONTROL!$C$32, 7.828, 7.8228) * CHOOSE(CONTROL!$C$15, $D$11, 100%, $F$11)</f>
        <v>7.8280000000000003</v>
      </c>
      <c r="G263" s="8">
        <f>CHOOSE( CONTROL!$C$32, 6.6135, 6.6083) * CHOOSE( CONTROL!$C$15, $D$11, 100%, $F$11)</f>
        <v>6.6135000000000002</v>
      </c>
      <c r="H263" s="4">
        <f>CHOOSE( CONTROL!$C$32, 7.5543, 7.5492) * CHOOSE(CONTROL!$C$15, $D$11, 100%, $F$11)</f>
        <v>7.5542999999999996</v>
      </c>
      <c r="I263" s="8">
        <f>CHOOSE( CONTROL!$C$32, 6.5693, 6.5643) * CHOOSE(CONTROL!$C$15, $D$11, 100%, $F$11)</f>
        <v>6.5693000000000001</v>
      </c>
      <c r="J263" s="4">
        <f>CHOOSE( CONTROL!$C$32, 6.5039, 6.4989) * CHOOSE(CONTROL!$C$15, $D$11, 100%, $F$11)</f>
        <v>6.5038999999999998</v>
      </c>
      <c r="K263" s="4"/>
      <c r="L263" s="9">
        <v>29.520499999999998</v>
      </c>
      <c r="M263" s="9">
        <v>12.063700000000001</v>
      </c>
      <c r="N263" s="9">
        <v>4.9444999999999997</v>
      </c>
      <c r="O263" s="9">
        <v>0.37459999999999999</v>
      </c>
      <c r="P263" s="9">
        <v>1.2192000000000001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CONTROL!$C$32, 6.2691, 6.2638) * CHOOSE(CONTROL!$C$15, $D$11, 100%, $F$11)</f>
        <v>6.2690999999999999</v>
      </c>
      <c r="C264" s="8">
        <f>CHOOSE( CONTROL!$C$32, 6.2795, 6.2742) * CHOOSE(CONTROL!$C$15, $D$11, 100%, $F$11)</f>
        <v>6.2794999999999996</v>
      </c>
      <c r="D264" s="8">
        <f>CHOOSE( CONTROL!$C$32, 6.2904, 6.2852) * CHOOSE( CONTROL!$C$15, $D$11, 100%, $F$11)</f>
        <v>6.2904</v>
      </c>
      <c r="E264" s="12">
        <f>CHOOSE( CONTROL!$C$32, 6.2849, 6.2796) * CHOOSE( CONTROL!$C$15, $D$11, 100%, $F$11)</f>
        <v>6.2849000000000004</v>
      </c>
      <c r="F264" s="4">
        <f>CHOOSE( CONTROL!$C$32, 7.3045, 7.2992) * CHOOSE(CONTROL!$C$15, $D$11, 100%, $F$11)</f>
        <v>7.3045</v>
      </c>
      <c r="G264" s="8">
        <f>CHOOSE( CONTROL!$C$32, 6.1036, 6.0985) * CHOOSE( CONTROL!$C$15, $D$11, 100%, $F$11)</f>
        <v>6.1036000000000001</v>
      </c>
      <c r="H264" s="4">
        <f>CHOOSE( CONTROL!$C$32, 7.044, 7.0388) * CHOOSE(CONTROL!$C$15, $D$11, 100%, $F$11)</f>
        <v>7.0439999999999996</v>
      </c>
      <c r="I264" s="8">
        <f>CHOOSE( CONTROL!$C$32, 6.069, 6.064) * CHOOSE(CONTROL!$C$15, $D$11, 100%, $F$11)</f>
        <v>6.069</v>
      </c>
      <c r="J264" s="4">
        <f>CHOOSE( CONTROL!$C$32, 6.0023, 5.9972) * CHOOSE(CONTROL!$C$15, $D$11, 100%, $F$11)</f>
        <v>6.0023</v>
      </c>
      <c r="K264" s="4"/>
      <c r="L264" s="9">
        <v>29.520499999999998</v>
      </c>
      <c r="M264" s="9">
        <v>12.063700000000001</v>
      </c>
      <c r="N264" s="9">
        <v>4.9444999999999997</v>
      </c>
      <c r="O264" s="9">
        <v>0.37459999999999999</v>
      </c>
      <c r="P264" s="9">
        <v>1.2192000000000001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CONTROL!$C$32, 6.138, 6.1327) * CHOOSE(CONTROL!$C$15, $D$11, 100%, $F$11)</f>
        <v>6.1379999999999999</v>
      </c>
      <c r="C265" s="8">
        <f>CHOOSE( CONTROL!$C$32, 6.1484, 6.1431) * CHOOSE(CONTROL!$C$15, $D$11, 100%, $F$11)</f>
        <v>6.1483999999999996</v>
      </c>
      <c r="D265" s="8">
        <f>CHOOSE( CONTROL!$C$32, 6.1595, 6.1542) * CHOOSE( CONTROL!$C$15, $D$11, 100%, $F$11)</f>
        <v>6.1595000000000004</v>
      </c>
      <c r="E265" s="12">
        <f>CHOOSE( CONTROL!$C$32, 6.1539, 6.1486) * CHOOSE( CONTROL!$C$15, $D$11, 100%, $F$11)</f>
        <v>6.1539000000000001</v>
      </c>
      <c r="F265" s="4">
        <f>CHOOSE( CONTROL!$C$32, 7.1734, 7.1681) * CHOOSE(CONTROL!$C$15, $D$11, 100%, $F$11)</f>
        <v>7.1734</v>
      </c>
      <c r="G265" s="8">
        <f>CHOOSE( CONTROL!$C$32, 5.976, 5.9709) * CHOOSE( CONTROL!$C$15, $D$11, 100%, $F$11)</f>
        <v>5.976</v>
      </c>
      <c r="H265" s="4">
        <f>CHOOSE( CONTROL!$C$32, 6.9162, 6.911) * CHOOSE(CONTROL!$C$15, $D$11, 100%, $F$11)</f>
        <v>6.9161999999999999</v>
      </c>
      <c r="I265" s="8">
        <f>CHOOSE( CONTROL!$C$32, 5.944, 5.939) * CHOOSE(CONTROL!$C$15, $D$11, 100%, $F$11)</f>
        <v>5.944</v>
      </c>
      <c r="J265" s="4">
        <f>CHOOSE( CONTROL!$C$32, 5.8766, 5.8716) * CHOOSE(CONTROL!$C$15, $D$11, 100%, $F$11)</f>
        <v>5.8765999999999998</v>
      </c>
      <c r="K265" s="4"/>
      <c r="L265" s="9">
        <v>28.568200000000001</v>
      </c>
      <c r="M265" s="9">
        <v>11.6745</v>
      </c>
      <c r="N265" s="9">
        <v>4.7850000000000001</v>
      </c>
      <c r="O265" s="9">
        <v>0.36249999999999999</v>
      </c>
      <c r="P265" s="9">
        <v>1.1798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6.4049 * CHOOSE(CONTROL!$C$15, $D$11, 100%, $F$11)</f>
        <v>6.4048999999999996</v>
      </c>
      <c r="C266" s="8">
        <f>6.4154 * CHOOSE(CONTROL!$C$15, $D$11, 100%, $F$11)</f>
        <v>6.4154</v>
      </c>
      <c r="D266" s="8">
        <f>6.4277 * CHOOSE( CONTROL!$C$15, $D$11, 100%, $F$11)</f>
        <v>6.4276999999999997</v>
      </c>
      <c r="E266" s="12">
        <f>6.4225 * CHOOSE( CONTROL!$C$15, $D$11, 100%, $F$11)</f>
        <v>6.4225000000000003</v>
      </c>
      <c r="F266" s="4">
        <f>7.4403 * CHOOSE(CONTROL!$C$15, $D$11, 100%, $F$11)</f>
        <v>7.4402999999999997</v>
      </c>
      <c r="G266" s="8">
        <f>6.2356 * CHOOSE( CONTROL!$C$15, $D$11, 100%, $F$11)</f>
        <v>6.2355999999999998</v>
      </c>
      <c r="H266" s="4">
        <f>7.1764 * CHOOSE(CONTROL!$C$15, $D$11, 100%, $F$11)</f>
        <v>7.1764000000000001</v>
      </c>
      <c r="I266" s="8">
        <f>6.2014 * CHOOSE(CONTROL!$C$15, $D$11, 100%, $F$11)</f>
        <v>6.2013999999999996</v>
      </c>
      <c r="J266" s="4">
        <f>6.1324 * CHOOSE(CONTROL!$C$15, $D$11, 100%, $F$11)</f>
        <v>6.1323999999999996</v>
      </c>
      <c r="K266" s="4"/>
      <c r="L266" s="9">
        <v>28.921800000000001</v>
      </c>
      <c r="M266" s="9">
        <v>12.063700000000001</v>
      </c>
      <c r="N266" s="9">
        <v>4.9444999999999997</v>
      </c>
      <c r="O266" s="9">
        <v>0.37459999999999999</v>
      </c>
      <c r="P266" s="9">
        <v>1.2192000000000001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6.9074 * CHOOSE(CONTROL!$C$15, $D$11, 100%, $F$11)</f>
        <v>6.9074</v>
      </c>
      <c r="C267" s="8">
        <f>6.9178 * CHOOSE(CONTROL!$C$15, $D$11, 100%, $F$11)</f>
        <v>6.9177999999999997</v>
      </c>
      <c r="D267" s="8">
        <f>6.9016 * CHOOSE( CONTROL!$C$15, $D$11, 100%, $F$11)</f>
        <v>6.9016000000000002</v>
      </c>
      <c r="E267" s="12">
        <f>6.9064 * CHOOSE( CONTROL!$C$15, $D$11, 100%, $F$11)</f>
        <v>6.9063999999999997</v>
      </c>
      <c r="F267" s="4">
        <f>7.9016 * CHOOSE(CONTROL!$C$15, $D$11, 100%, $F$11)</f>
        <v>7.9016000000000002</v>
      </c>
      <c r="G267" s="8">
        <f>6.7464 * CHOOSE( CONTROL!$C$15, $D$11, 100%, $F$11)</f>
        <v>6.7464000000000004</v>
      </c>
      <c r="H267" s="4">
        <f>7.626 * CHOOSE(CONTROL!$C$15, $D$11, 100%, $F$11)</f>
        <v>7.6260000000000003</v>
      </c>
      <c r="I267" s="8">
        <f>6.7199 * CHOOSE(CONTROL!$C$15, $D$11, 100%, $F$11)</f>
        <v>6.7199</v>
      </c>
      <c r="J267" s="4">
        <f>6.6139 * CHOOSE(CONTROL!$C$15, $D$11, 100%, $F$11)</f>
        <v>6.6139000000000001</v>
      </c>
      <c r="K267" s="4"/>
      <c r="L267" s="9">
        <v>26.515499999999999</v>
      </c>
      <c r="M267" s="9">
        <v>11.6745</v>
      </c>
      <c r="N267" s="9">
        <v>4.7850000000000001</v>
      </c>
      <c r="O267" s="9">
        <v>0.36249999999999999</v>
      </c>
      <c r="P267" s="9">
        <v>1.2522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6.8948 * CHOOSE(CONTROL!$C$15, $D$11, 100%, $F$11)</f>
        <v>6.8948</v>
      </c>
      <c r="C268" s="8">
        <f>6.9053 * CHOOSE(CONTROL!$C$15, $D$11, 100%, $F$11)</f>
        <v>6.9053000000000004</v>
      </c>
      <c r="D268" s="8">
        <f>6.8913 * CHOOSE( CONTROL!$C$15, $D$11, 100%, $F$11)</f>
        <v>6.8913000000000002</v>
      </c>
      <c r="E268" s="12">
        <f>6.8953 * CHOOSE( CONTROL!$C$15, $D$11, 100%, $F$11)</f>
        <v>6.8952999999999998</v>
      </c>
      <c r="F268" s="4">
        <f>7.889 * CHOOSE(CONTROL!$C$15, $D$11, 100%, $F$11)</f>
        <v>7.8890000000000002</v>
      </c>
      <c r="G268" s="8">
        <f>6.7359 * CHOOSE( CONTROL!$C$15, $D$11, 100%, $F$11)</f>
        <v>6.7359</v>
      </c>
      <c r="H268" s="4">
        <f>7.6138 * CHOOSE(CONTROL!$C$15, $D$11, 100%, $F$11)</f>
        <v>7.6138000000000003</v>
      </c>
      <c r="I268" s="8">
        <f>6.7155 * CHOOSE(CONTROL!$C$15, $D$11, 100%, $F$11)</f>
        <v>6.7154999999999996</v>
      </c>
      <c r="J268" s="4">
        <f>6.6019 * CHOOSE(CONTROL!$C$15, $D$11, 100%, $F$11)</f>
        <v>6.6018999999999997</v>
      </c>
      <c r="K268" s="4"/>
      <c r="L268" s="9">
        <v>27.3993</v>
      </c>
      <c r="M268" s="9">
        <v>12.063700000000001</v>
      </c>
      <c r="N268" s="9">
        <v>4.9444999999999997</v>
      </c>
      <c r="O268" s="9">
        <v>0.37459999999999999</v>
      </c>
      <c r="P268" s="9">
        <v>1.2939000000000001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7.1581 * CHOOSE(CONTROL!$C$15, $D$11, 100%, $F$11)</f>
        <v>7.1581000000000001</v>
      </c>
      <c r="C269" s="8">
        <f>7.1686 * CHOOSE(CONTROL!$C$15, $D$11, 100%, $F$11)</f>
        <v>7.1685999999999996</v>
      </c>
      <c r="D269" s="8">
        <f>7.1679 * CHOOSE( CONTROL!$C$15, $D$11, 100%, $F$11)</f>
        <v>7.1679000000000004</v>
      </c>
      <c r="E269" s="12">
        <f>7.167 * CHOOSE( CONTROL!$C$15, $D$11, 100%, $F$11)</f>
        <v>7.1669999999999998</v>
      </c>
      <c r="F269" s="4">
        <f>8.1811 * CHOOSE(CONTROL!$C$15, $D$11, 100%, $F$11)</f>
        <v>8.1811000000000007</v>
      </c>
      <c r="G269" s="8">
        <f>7.0061 * CHOOSE( CONTROL!$C$15, $D$11, 100%, $F$11)</f>
        <v>7.0061</v>
      </c>
      <c r="H269" s="4">
        <f>7.8984 * CHOOSE(CONTROL!$C$15, $D$11, 100%, $F$11)</f>
        <v>7.8983999999999996</v>
      </c>
      <c r="I269" s="8">
        <f>6.9662 * CHOOSE(CONTROL!$C$15, $D$11, 100%, $F$11)</f>
        <v>6.9661999999999997</v>
      </c>
      <c r="J269" s="4">
        <f>6.8542 * CHOOSE(CONTROL!$C$15, $D$11, 100%, $F$11)</f>
        <v>6.8541999999999996</v>
      </c>
      <c r="K269" s="4"/>
      <c r="L269" s="9">
        <v>27.3993</v>
      </c>
      <c r="M269" s="9">
        <v>12.063700000000001</v>
      </c>
      <c r="N269" s="9">
        <v>4.9444999999999997</v>
      </c>
      <c r="O269" s="9">
        <v>0.37459999999999999</v>
      </c>
      <c r="P269" s="9">
        <v>1.2939000000000001</v>
      </c>
      <c r="Q269" s="9">
        <v>30.5152</v>
      </c>
      <c r="R269" s="9"/>
      <c r="S269" s="11"/>
    </row>
    <row r="270" spans="1:19" ht="15.75">
      <c r="A270" s="14">
        <v>50072</v>
      </c>
      <c r="B270" s="8">
        <f>6.6957 * CHOOSE(CONTROL!$C$15, $D$11, 100%, $F$11)</f>
        <v>6.6957000000000004</v>
      </c>
      <c r="C270" s="8">
        <f>6.7061 * CHOOSE(CONTROL!$C$15, $D$11, 100%, $F$11)</f>
        <v>6.7061000000000002</v>
      </c>
      <c r="D270" s="8">
        <f>6.7076 * CHOOSE( CONTROL!$C$15, $D$11, 100%, $F$11)</f>
        <v>6.7076000000000002</v>
      </c>
      <c r="E270" s="12">
        <f>6.7059 * CHOOSE( CONTROL!$C$15, $D$11, 100%, $F$11)</f>
        <v>6.7058999999999997</v>
      </c>
      <c r="F270" s="4">
        <f>7.7108 * CHOOSE(CONTROL!$C$15, $D$11, 100%, $F$11)</f>
        <v>7.7107999999999999</v>
      </c>
      <c r="G270" s="8">
        <f>6.5551 * CHOOSE( CONTROL!$C$15, $D$11, 100%, $F$11)</f>
        <v>6.5551000000000004</v>
      </c>
      <c r="H270" s="4">
        <f>7.44 * CHOOSE(CONTROL!$C$15, $D$11, 100%, $F$11)</f>
        <v>7.44</v>
      </c>
      <c r="I270" s="8">
        <f>6.5119 * CHOOSE(CONTROL!$C$15, $D$11, 100%, $F$11)</f>
        <v>6.5118999999999998</v>
      </c>
      <c r="J270" s="4">
        <f>6.4111 * CHOOSE(CONTROL!$C$15, $D$11, 100%, $F$11)</f>
        <v>6.4111000000000002</v>
      </c>
      <c r="K270" s="4"/>
      <c r="L270" s="9">
        <v>24.747800000000002</v>
      </c>
      <c r="M270" s="9">
        <v>10.8962</v>
      </c>
      <c r="N270" s="9">
        <v>4.4660000000000002</v>
      </c>
      <c r="O270" s="9">
        <v>0.33829999999999999</v>
      </c>
      <c r="P270" s="9">
        <v>1.1687000000000001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6.5533 * CHOOSE(CONTROL!$C$15, $D$11, 100%, $F$11)</f>
        <v>6.5533000000000001</v>
      </c>
      <c r="C271" s="8">
        <f>6.5637 * CHOOSE(CONTROL!$C$15, $D$11, 100%, $F$11)</f>
        <v>6.5636999999999999</v>
      </c>
      <c r="D271" s="8">
        <f>6.5447 * CHOOSE( CONTROL!$C$15, $D$11, 100%, $F$11)</f>
        <v>6.5446999999999997</v>
      </c>
      <c r="E271" s="12">
        <f>6.5505 * CHOOSE( CONTROL!$C$15, $D$11, 100%, $F$11)</f>
        <v>6.5505000000000004</v>
      </c>
      <c r="F271" s="4">
        <f>7.5522 * CHOOSE(CONTROL!$C$15, $D$11, 100%, $F$11)</f>
        <v>7.5522</v>
      </c>
      <c r="G271" s="8">
        <f>6.3956 * CHOOSE( CONTROL!$C$15, $D$11, 100%, $F$11)</f>
        <v>6.3956</v>
      </c>
      <c r="H271" s="4">
        <f>7.2854 * CHOOSE(CONTROL!$C$15, $D$11, 100%, $F$11)</f>
        <v>7.2854000000000001</v>
      </c>
      <c r="I271" s="8">
        <f>6.3359 * CHOOSE(CONTROL!$C$15, $D$11, 100%, $F$11)</f>
        <v>6.3358999999999996</v>
      </c>
      <c r="J271" s="4">
        <f>6.2746 * CHOOSE(CONTROL!$C$15, $D$11, 100%, $F$11)</f>
        <v>6.2746000000000004</v>
      </c>
      <c r="K271" s="4"/>
      <c r="L271" s="9">
        <v>27.3993</v>
      </c>
      <c r="M271" s="9">
        <v>12.063700000000001</v>
      </c>
      <c r="N271" s="9">
        <v>4.9444999999999997</v>
      </c>
      <c r="O271" s="9">
        <v>0.37459999999999999</v>
      </c>
      <c r="P271" s="9">
        <v>1.2939000000000001</v>
      </c>
      <c r="Q271" s="9">
        <v>30.5152</v>
      </c>
      <c r="R271" s="9"/>
      <c r="S271" s="11"/>
    </row>
    <row r="272" spans="1:19" ht="15.75">
      <c r="A272" s="14">
        <v>50131</v>
      </c>
      <c r="B272" s="8">
        <f>6.6528 * CHOOSE(CONTROL!$C$15, $D$11, 100%, $F$11)</f>
        <v>6.6528</v>
      </c>
      <c r="C272" s="8">
        <f>6.6632 * CHOOSE(CONTROL!$C$15, $D$11, 100%, $F$11)</f>
        <v>6.6631999999999998</v>
      </c>
      <c r="D272" s="8">
        <f>6.6673 * CHOOSE( CONTROL!$C$15, $D$11, 100%, $F$11)</f>
        <v>6.6673</v>
      </c>
      <c r="E272" s="12">
        <f>6.6648 * CHOOSE( CONTROL!$C$15, $D$11, 100%, $F$11)</f>
        <v>6.6647999999999996</v>
      </c>
      <c r="F272" s="4">
        <f>7.6601 * CHOOSE(CONTROL!$C$15, $D$11, 100%, $F$11)</f>
        <v>7.6600999999999999</v>
      </c>
      <c r="G272" s="8">
        <f>6.4809 * CHOOSE( CONTROL!$C$15, $D$11, 100%, $F$11)</f>
        <v>6.4809000000000001</v>
      </c>
      <c r="H272" s="4">
        <f>7.3906 * CHOOSE(CONTROL!$C$15, $D$11, 100%, $F$11)</f>
        <v>7.3906000000000001</v>
      </c>
      <c r="I272" s="8">
        <f>6.4214 * CHOOSE(CONTROL!$C$15, $D$11, 100%, $F$11)</f>
        <v>6.4214000000000002</v>
      </c>
      <c r="J272" s="4">
        <f>6.37 * CHOOSE(CONTROL!$C$15, $D$11, 100%, $F$11)</f>
        <v>6.37</v>
      </c>
      <c r="K272" s="4"/>
      <c r="L272" s="9">
        <v>27.988800000000001</v>
      </c>
      <c r="M272" s="9">
        <v>11.6745</v>
      </c>
      <c r="N272" s="9">
        <v>4.7850000000000001</v>
      </c>
      <c r="O272" s="9">
        <v>0.36249999999999999</v>
      </c>
      <c r="P272" s="9">
        <v>1.1798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CONTROL!$C$32, 6.8352, 6.8299) * CHOOSE(CONTROL!$C$15, $D$11, 100%, $F$11)</f>
        <v>6.8352000000000004</v>
      </c>
      <c r="C273" s="8">
        <f>CHOOSE( CONTROL!$C$32, 6.8456, 6.8404) * CHOOSE(CONTROL!$C$15, $D$11, 100%, $F$11)</f>
        <v>6.8456000000000001</v>
      </c>
      <c r="D273" s="8">
        <f>CHOOSE( CONTROL!$C$32, 6.8585, 6.8532) * CHOOSE( CONTROL!$C$15, $D$11, 100%, $F$11)</f>
        <v>6.8585000000000003</v>
      </c>
      <c r="E273" s="12">
        <f>CHOOSE( CONTROL!$C$32, 6.8522, 6.847) * CHOOSE( CONTROL!$C$15, $D$11, 100%, $F$11)</f>
        <v>6.8521999999999998</v>
      </c>
      <c r="F273" s="4">
        <f>CHOOSE( CONTROL!$C$32, 7.8581, 7.8528) * CHOOSE(CONTROL!$C$15, $D$11, 100%, $F$11)</f>
        <v>7.8581000000000003</v>
      </c>
      <c r="G273" s="8">
        <f>CHOOSE( CONTROL!$C$32, 6.6643, 6.6592) * CHOOSE( CONTROL!$C$15, $D$11, 100%, $F$11)</f>
        <v>6.6642999999999999</v>
      </c>
      <c r="H273" s="4">
        <f>CHOOSE( CONTROL!$C$32, 7.5836, 7.5785) * CHOOSE(CONTROL!$C$15, $D$11, 100%, $F$11)</f>
        <v>7.5835999999999997</v>
      </c>
      <c r="I273" s="8">
        <f>CHOOSE( CONTROL!$C$32, 6.6015, 6.5965) * CHOOSE(CONTROL!$C$15, $D$11, 100%, $F$11)</f>
        <v>6.6014999999999997</v>
      </c>
      <c r="J273" s="4">
        <f>CHOOSE( CONTROL!$C$32, 6.5447, 6.5397) * CHOOSE(CONTROL!$C$15, $D$11, 100%, $F$11)</f>
        <v>6.5446999999999997</v>
      </c>
      <c r="K273" s="4"/>
      <c r="L273" s="9">
        <v>29.520499999999998</v>
      </c>
      <c r="M273" s="9">
        <v>12.063700000000001</v>
      </c>
      <c r="N273" s="9">
        <v>4.9444999999999997</v>
      </c>
      <c r="O273" s="9">
        <v>0.37459999999999999</v>
      </c>
      <c r="P273" s="9">
        <v>1.2192000000000001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CONTROL!$C$32, 6.7255, 6.7202) * CHOOSE(CONTROL!$C$15, $D$11, 100%, $F$11)</f>
        <v>6.7255000000000003</v>
      </c>
      <c r="C274" s="8">
        <f>CHOOSE( CONTROL!$C$32, 6.7359, 6.7306) * CHOOSE(CONTROL!$C$15, $D$11, 100%, $F$11)</f>
        <v>6.7359</v>
      </c>
      <c r="D274" s="8">
        <f>CHOOSE( CONTROL!$C$32, 6.7563, 6.7511) * CHOOSE( CONTROL!$C$15, $D$11, 100%, $F$11)</f>
        <v>6.7563000000000004</v>
      </c>
      <c r="E274" s="12">
        <f>CHOOSE( CONTROL!$C$32, 6.7473, 6.7421) * CHOOSE( CONTROL!$C$15, $D$11, 100%, $F$11)</f>
        <v>6.7473000000000001</v>
      </c>
      <c r="F274" s="4">
        <f>CHOOSE( CONTROL!$C$32, 7.7609, 7.7556) * CHOOSE(CONTROL!$C$15, $D$11, 100%, $F$11)</f>
        <v>7.7609000000000004</v>
      </c>
      <c r="G274" s="8">
        <f>CHOOSE( CONTROL!$C$32, 6.5612, 6.5561) * CHOOSE( CONTROL!$C$15, $D$11, 100%, $F$11)</f>
        <v>6.5612000000000004</v>
      </c>
      <c r="H274" s="4">
        <f>CHOOSE( CONTROL!$C$32, 7.4889, 7.4837) * CHOOSE(CONTROL!$C$15, $D$11, 100%, $F$11)</f>
        <v>7.4889000000000001</v>
      </c>
      <c r="I274" s="8">
        <f>CHOOSE( CONTROL!$C$32, 6.5016, 6.4965) * CHOOSE(CONTROL!$C$15, $D$11, 100%, $F$11)</f>
        <v>6.5015999999999998</v>
      </c>
      <c r="J274" s="4">
        <f>CHOOSE( CONTROL!$C$32, 6.4396, 6.4345) * CHOOSE(CONTROL!$C$15, $D$11, 100%, $F$11)</f>
        <v>6.4396000000000004</v>
      </c>
      <c r="K274" s="4"/>
      <c r="L274" s="9">
        <v>28.568200000000001</v>
      </c>
      <c r="M274" s="9">
        <v>11.6745</v>
      </c>
      <c r="N274" s="9">
        <v>4.7850000000000001</v>
      </c>
      <c r="O274" s="9">
        <v>0.36249999999999999</v>
      </c>
      <c r="P274" s="9">
        <v>1.1798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CONTROL!$C$32, 7.0144, 7.0092) * CHOOSE(CONTROL!$C$15, $D$11, 100%, $F$11)</f>
        <v>7.0144000000000002</v>
      </c>
      <c r="C275" s="8">
        <f>CHOOSE( CONTROL!$C$32, 7.0249, 7.0196) * CHOOSE(CONTROL!$C$15, $D$11, 100%, $F$11)</f>
        <v>7.0248999999999997</v>
      </c>
      <c r="D275" s="8">
        <f>CHOOSE( CONTROL!$C$32, 7.0355, 7.0302) * CHOOSE( CONTROL!$C$15, $D$11, 100%, $F$11)</f>
        <v>7.0354999999999999</v>
      </c>
      <c r="E275" s="12">
        <f>CHOOSE( CONTROL!$C$32, 7.0301, 7.0248) * CHOOSE( CONTROL!$C$15, $D$11, 100%, $F$11)</f>
        <v>7.0301</v>
      </c>
      <c r="F275" s="4">
        <f>CHOOSE( CONTROL!$C$32, 8.0499, 8.0446) * CHOOSE(CONTROL!$C$15, $D$11, 100%, $F$11)</f>
        <v>8.0498999999999992</v>
      </c>
      <c r="G275" s="8">
        <f>CHOOSE( CONTROL!$C$32, 6.8297, 6.8245) * CHOOSE( CONTROL!$C$15, $D$11, 100%, $F$11)</f>
        <v>6.8296999999999999</v>
      </c>
      <c r="H275" s="4">
        <f>CHOOSE( CONTROL!$C$32, 7.7705, 7.7654) * CHOOSE(CONTROL!$C$15, $D$11, 100%, $F$11)</f>
        <v>7.7705000000000002</v>
      </c>
      <c r="I275" s="8">
        <f>CHOOSE( CONTROL!$C$32, 6.782, 6.7769) * CHOOSE(CONTROL!$C$15, $D$11, 100%, $F$11)</f>
        <v>6.782</v>
      </c>
      <c r="J275" s="4">
        <f>CHOOSE( CONTROL!$C$32, 6.7165, 6.7114) * CHOOSE(CONTROL!$C$15, $D$11, 100%, $F$11)</f>
        <v>6.7164999999999999</v>
      </c>
      <c r="K275" s="4"/>
      <c r="L275" s="9">
        <v>29.520499999999998</v>
      </c>
      <c r="M275" s="9">
        <v>12.063700000000001</v>
      </c>
      <c r="N275" s="9">
        <v>4.9444999999999997</v>
      </c>
      <c r="O275" s="9">
        <v>0.37459999999999999</v>
      </c>
      <c r="P275" s="9">
        <v>1.2192000000000001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CONTROL!$C$32, 6.4737, 6.4685) * CHOOSE(CONTROL!$C$15, $D$11, 100%, $F$11)</f>
        <v>6.4737</v>
      </c>
      <c r="C276" s="8">
        <f>CHOOSE( CONTROL!$C$32, 6.4842, 6.4789) * CHOOSE(CONTROL!$C$15, $D$11, 100%, $F$11)</f>
        <v>6.4842000000000004</v>
      </c>
      <c r="D276" s="8">
        <f>CHOOSE( CONTROL!$C$32, 6.4951, 6.4899) * CHOOSE( CONTROL!$C$15, $D$11, 100%, $F$11)</f>
        <v>6.4950999999999999</v>
      </c>
      <c r="E276" s="12">
        <f>CHOOSE( CONTROL!$C$32, 6.4895, 6.4843) * CHOOSE( CONTROL!$C$15, $D$11, 100%, $F$11)</f>
        <v>6.4894999999999996</v>
      </c>
      <c r="F276" s="4">
        <f>CHOOSE( CONTROL!$C$32, 7.5092, 7.5039) * CHOOSE(CONTROL!$C$15, $D$11, 100%, $F$11)</f>
        <v>7.5091999999999999</v>
      </c>
      <c r="G276" s="8">
        <f>CHOOSE( CONTROL!$C$32, 6.3031, 6.298) * CHOOSE( CONTROL!$C$15, $D$11, 100%, $F$11)</f>
        <v>6.3030999999999997</v>
      </c>
      <c r="H276" s="4">
        <f>CHOOSE( CONTROL!$C$32, 7.2435, 7.2384) * CHOOSE(CONTROL!$C$15, $D$11, 100%, $F$11)</f>
        <v>7.2435</v>
      </c>
      <c r="I276" s="8">
        <f>CHOOSE( CONTROL!$C$32, 6.2653, 6.2602) * CHOOSE(CONTROL!$C$15, $D$11, 100%, $F$11)</f>
        <v>6.2652999999999999</v>
      </c>
      <c r="J276" s="4">
        <f>CHOOSE( CONTROL!$C$32, 6.1984, 6.1934) * CHOOSE(CONTROL!$C$15, $D$11, 100%, $F$11)</f>
        <v>6.1984000000000004</v>
      </c>
      <c r="K276" s="4"/>
      <c r="L276" s="9">
        <v>29.520499999999998</v>
      </c>
      <c r="M276" s="9">
        <v>12.063700000000001</v>
      </c>
      <c r="N276" s="9">
        <v>4.9444999999999997</v>
      </c>
      <c r="O276" s="9">
        <v>0.37459999999999999</v>
      </c>
      <c r="P276" s="9">
        <v>1.2192000000000001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CONTROL!$C$32, 6.3384, 6.3331) * CHOOSE(CONTROL!$C$15, $D$11, 100%, $F$11)</f>
        <v>6.3384</v>
      </c>
      <c r="C277" s="8">
        <f>CHOOSE( CONTROL!$C$32, 6.3488, 6.3435) * CHOOSE(CONTROL!$C$15, $D$11, 100%, $F$11)</f>
        <v>6.3487999999999998</v>
      </c>
      <c r="D277" s="8">
        <f>CHOOSE( CONTROL!$C$32, 6.3599, 6.3546) * CHOOSE( CONTROL!$C$15, $D$11, 100%, $F$11)</f>
        <v>6.3598999999999997</v>
      </c>
      <c r="E277" s="12">
        <f>CHOOSE( CONTROL!$C$32, 6.3543, 6.349) * CHOOSE( CONTROL!$C$15, $D$11, 100%, $F$11)</f>
        <v>6.3543000000000003</v>
      </c>
      <c r="F277" s="4">
        <f>CHOOSE( CONTROL!$C$32, 7.3738, 7.3685) * CHOOSE(CONTROL!$C$15, $D$11, 100%, $F$11)</f>
        <v>7.3738000000000001</v>
      </c>
      <c r="G277" s="8">
        <f>CHOOSE( CONTROL!$C$32, 6.1714, 6.1662) * CHOOSE( CONTROL!$C$15, $D$11, 100%, $F$11)</f>
        <v>6.1714000000000002</v>
      </c>
      <c r="H277" s="4">
        <f>CHOOSE( CONTROL!$C$32, 7.1115, 7.1064) * CHOOSE(CONTROL!$C$15, $D$11, 100%, $F$11)</f>
        <v>7.1115000000000004</v>
      </c>
      <c r="I277" s="8">
        <f>CHOOSE( CONTROL!$C$32, 6.1362, 6.1311) * CHOOSE(CONTROL!$C$15, $D$11, 100%, $F$11)</f>
        <v>6.1361999999999997</v>
      </c>
      <c r="J277" s="4">
        <f>CHOOSE( CONTROL!$C$32, 6.0687, 6.0636) * CHOOSE(CONTROL!$C$15, $D$11, 100%, $F$11)</f>
        <v>6.0686999999999998</v>
      </c>
      <c r="K277" s="4"/>
      <c r="L277" s="9">
        <v>28.568200000000001</v>
      </c>
      <c r="M277" s="9">
        <v>11.6745</v>
      </c>
      <c r="N277" s="9">
        <v>4.7850000000000001</v>
      </c>
      <c r="O277" s="9">
        <v>0.36249999999999999</v>
      </c>
      <c r="P277" s="9">
        <v>1.1798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6.6142 * CHOOSE(CONTROL!$C$15, $D$11, 100%, $F$11)</f>
        <v>6.6142000000000003</v>
      </c>
      <c r="C278" s="8">
        <f>6.6247 * CHOOSE(CONTROL!$C$15, $D$11, 100%, $F$11)</f>
        <v>6.6246999999999998</v>
      </c>
      <c r="D278" s="8">
        <f>6.637 * CHOOSE( CONTROL!$C$15, $D$11, 100%, $F$11)</f>
        <v>6.6369999999999996</v>
      </c>
      <c r="E278" s="12">
        <f>6.6318 * CHOOSE( CONTROL!$C$15, $D$11, 100%, $F$11)</f>
        <v>6.6318000000000001</v>
      </c>
      <c r="F278" s="4">
        <f>7.6497 * CHOOSE(CONTROL!$C$15, $D$11, 100%, $F$11)</f>
        <v>7.6497000000000002</v>
      </c>
      <c r="G278" s="8">
        <f>6.4396 * CHOOSE( CONTROL!$C$15, $D$11, 100%, $F$11)</f>
        <v>6.4396000000000004</v>
      </c>
      <c r="H278" s="4">
        <f>7.3804 * CHOOSE(CONTROL!$C$15, $D$11, 100%, $F$11)</f>
        <v>7.3803999999999998</v>
      </c>
      <c r="I278" s="8">
        <f>6.402 * CHOOSE(CONTROL!$C$15, $D$11, 100%, $F$11)</f>
        <v>6.4020000000000001</v>
      </c>
      <c r="J278" s="4">
        <f>6.333 * CHOOSE(CONTROL!$C$15, $D$11, 100%, $F$11)</f>
        <v>6.3330000000000002</v>
      </c>
      <c r="K278" s="4"/>
      <c r="L278" s="9">
        <v>28.921800000000001</v>
      </c>
      <c r="M278" s="9">
        <v>12.063700000000001</v>
      </c>
      <c r="N278" s="9">
        <v>4.9444999999999997</v>
      </c>
      <c r="O278" s="9">
        <v>0.37459999999999999</v>
      </c>
      <c r="P278" s="9">
        <v>1.2192000000000001</v>
      </c>
      <c r="Q278" s="9">
        <v>30.5152</v>
      </c>
      <c r="R278" s="9"/>
      <c r="S278" s="11"/>
    </row>
    <row r="279" spans="1:19" ht="15.75">
      <c r="A279" s="14">
        <v>50345</v>
      </c>
      <c r="B279" s="8">
        <f>7.1331 * CHOOSE(CONTROL!$C$15, $D$11, 100%, $F$11)</f>
        <v>7.1330999999999998</v>
      </c>
      <c r="C279" s="8">
        <f>7.1435 * CHOOSE(CONTROL!$C$15, $D$11, 100%, $F$11)</f>
        <v>7.1435000000000004</v>
      </c>
      <c r="D279" s="8">
        <f>7.1273 * CHOOSE( CONTROL!$C$15, $D$11, 100%, $F$11)</f>
        <v>7.1273</v>
      </c>
      <c r="E279" s="12">
        <f>7.1321 * CHOOSE( CONTROL!$C$15, $D$11, 100%, $F$11)</f>
        <v>7.1321000000000003</v>
      </c>
      <c r="F279" s="4">
        <f>8.1273 * CHOOSE(CONTROL!$C$15, $D$11, 100%, $F$11)</f>
        <v>8.1273</v>
      </c>
      <c r="G279" s="8">
        <f>6.9664 * CHOOSE( CONTROL!$C$15, $D$11, 100%, $F$11)</f>
        <v>6.9664000000000001</v>
      </c>
      <c r="H279" s="4">
        <f>7.846 * CHOOSE(CONTROL!$C$15, $D$11, 100%, $F$11)</f>
        <v>7.8460000000000001</v>
      </c>
      <c r="I279" s="8">
        <f>6.9363 * CHOOSE(CONTROL!$C$15, $D$11, 100%, $F$11)</f>
        <v>6.9363000000000001</v>
      </c>
      <c r="J279" s="4">
        <f>6.8302 * CHOOSE(CONTROL!$C$15, $D$11, 100%, $F$11)</f>
        <v>6.8301999999999996</v>
      </c>
      <c r="K279" s="4"/>
      <c r="L279" s="9">
        <v>26.515499999999999</v>
      </c>
      <c r="M279" s="9">
        <v>11.6745</v>
      </c>
      <c r="N279" s="9">
        <v>4.7850000000000001</v>
      </c>
      <c r="O279" s="9">
        <v>0.36249999999999999</v>
      </c>
      <c r="P279" s="9">
        <v>1.2522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7.1201 * CHOOSE(CONTROL!$C$15, $D$11, 100%, $F$11)</f>
        <v>7.1200999999999999</v>
      </c>
      <c r="C280" s="8">
        <f>7.1306 * CHOOSE(CONTROL!$C$15, $D$11, 100%, $F$11)</f>
        <v>7.1306000000000003</v>
      </c>
      <c r="D280" s="8">
        <f>7.1166 * CHOOSE( CONTROL!$C$15, $D$11, 100%, $F$11)</f>
        <v>7.1166</v>
      </c>
      <c r="E280" s="12">
        <f>7.1206 * CHOOSE( CONTROL!$C$15, $D$11, 100%, $F$11)</f>
        <v>7.1205999999999996</v>
      </c>
      <c r="F280" s="4">
        <f>8.1144 * CHOOSE(CONTROL!$C$15, $D$11, 100%, $F$11)</f>
        <v>8.1143999999999998</v>
      </c>
      <c r="G280" s="8">
        <f>6.9555 * CHOOSE( CONTROL!$C$15, $D$11, 100%, $F$11)</f>
        <v>6.9554999999999998</v>
      </c>
      <c r="H280" s="4">
        <f>7.8334 * CHOOSE(CONTROL!$C$15, $D$11, 100%, $F$11)</f>
        <v>7.8334000000000001</v>
      </c>
      <c r="I280" s="8">
        <f>6.9315 * CHOOSE(CONTROL!$C$15, $D$11, 100%, $F$11)</f>
        <v>6.9314999999999998</v>
      </c>
      <c r="J280" s="4">
        <f>6.8178 * CHOOSE(CONTROL!$C$15, $D$11, 100%, $F$11)</f>
        <v>6.8178000000000001</v>
      </c>
      <c r="K280" s="4"/>
      <c r="L280" s="9">
        <v>27.3993</v>
      </c>
      <c r="M280" s="9">
        <v>12.063700000000001</v>
      </c>
      <c r="N280" s="9">
        <v>4.9444999999999997</v>
      </c>
      <c r="O280" s="9">
        <v>0.37459999999999999</v>
      </c>
      <c r="P280" s="9">
        <v>1.2939000000000001</v>
      </c>
      <c r="Q280" s="9">
        <v>30.5152</v>
      </c>
      <c r="R280" s="9"/>
      <c r="S280" s="11"/>
    </row>
    <row r="281" spans="1:19" ht="15.75">
      <c r="A281" s="13">
        <v>50436</v>
      </c>
      <c r="B281" s="8">
        <f>7.3921 * CHOOSE(CONTROL!$C$15, $D$11, 100%, $F$11)</f>
        <v>7.3921000000000001</v>
      </c>
      <c r="C281" s="8">
        <f>7.4025 * CHOOSE(CONTROL!$C$15, $D$11, 100%, $F$11)</f>
        <v>7.4024999999999999</v>
      </c>
      <c r="D281" s="8">
        <f>7.4018 * CHOOSE( CONTROL!$C$15, $D$11, 100%, $F$11)</f>
        <v>7.4017999999999997</v>
      </c>
      <c r="E281" s="12">
        <f>7.4009 * CHOOSE( CONTROL!$C$15, $D$11, 100%, $F$11)</f>
        <v>7.4009</v>
      </c>
      <c r="F281" s="4">
        <f>8.415 * CHOOSE(CONTROL!$C$15, $D$11, 100%, $F$11)</f>
        <v>8.4149999999999991</v>
      </c>
      <c r="G281" s="8">
        <f>7.2341 * CHOOSE( CONTROL!$C$15, $D$11, 100%, $F$11)</f>
        <v>7.2340999999999998</v>
      </c>
      <c r="H281" s="4">
        <f>8.1264 * CHOOSE(CONTROL!$C$15, $D$11, 100%, $F$11)</f>
        <v>8.1264000000000003</v>
      </c>
      <c r="I281" s="8">
        <f>7.1905 * CHOOSE(CONTROL!$C$15, $D$11, 100%, $F$11)</f>
        <v>7.1905000000000001</v>
      </c>
      <c r="J281" s="4">
        <f>7.0783 * CHOOSE(CONTROL!$C$15, $D$11, 100%, $F$11)</f>
        <v>7.0782999999999996</v>
      </c>
      <c r="K281" s="4"/>
      <c r="L281" s="9">
        <v>27.3993</v>
      </c>
      <c r="M281" s="9">
        <v>12.063700000000001</v>
      </c>
      <c r="N281" s="9">
        <v>4.9444999999999997</v>
      </c>
      <c r="O281" s="9">
        <v>0.37459999999999999</v>
      </c>
      <c r="P281" s="9">
        <v>1.2939000000000001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6.9145 * CHOOSE(CONTROL!$C$15, $D$11, 100%, $F$11)</f>
        <v>6.9145000000000003</v>
      </c>
      <c r="C282" s="8">
        <f>6.925 * CHOOSE(CONTROL!$C$15, $D$11, 100%, $F$11)</f>
        <v>6.9249999999999998</v>
      </c>
      <c r="D282" s="8">
        <f>6.9265 * CHOOSE( CONTROL!$C$15, $D$11, 100%, $F$11)</f>
        <v>6.9264999999999999</v>
      </c>
      <c r="E282" s="12">
        <f>6.9248 * CHOOSE( CONTROL!$C$15, $D$11, 100%, $F$11)</f>
        <v>6.9248000000000003</v>
      </c>
      <c r="F282" s="4">
        <f>7.9296 * CHOOSE(CONTROL!$C$15, $D$11, 100%, $F$11)</f>
        <v>7.9295999999999998</v>
      </c>
      <c r="G282" s="8">
        <f>6.7684 * CHOOSE( CONTROL!$C$15, $D$11, 100%, $F$11)</f>
        <v>6.7683999999999997</v>
      </c>
      <c r="H282" s="4">
        <f>7.6533 * CHOOSE(CONTROL!$C$15, $D$11, 100%, $F$11)</f>
        <v>7.6532999999999998</v>
      </c>
      <c r="I282" s="8">
        <f>6.7217 * CHOOSE(CONTROL!$C$15, $D$11, 100%, $F$11)</f>
        <v>6.7217000000000002</v>
      </c>
      <c r="J282" s="4">
        <f>6.6207 * CHOOSE(CONTROL!$C$15, $D$11, 100%, $F$11)</f>
        <v>6.6207000000000003</v>
      </c>
      <c r="K282" s="4"/>
      <c r="L282" s="9">
        <v>24.747800000000002</v>
      </c>
      <c r="M282" s="9">
        <v>10.8962</v>
      </c>
      <c r="N282" s="9">
        <v>4.4660000000000002</v>
      </c>
      <c r="O282" s="9">
        <v>0.33829999999999999</v>
      </c>
      <c r="P282" s="9">
        <v>1.1687000000000001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6.7674 * CHOOSE(CONTROL!$C$15, $D$11, 100%, $F$11)</f>
        <v>6.7674000000000003</v>
      </c>
      <c r="C283" s="8">
        <f>6.7779 * CHOOSE(CONTROL!$C$15, $D$11, 100%, $F$11)</f>
        <v>6.7778999999999998</v>
      </c>
      <c r="D283" s="8">
        <f>6.7589 * CHOOSE( CONTROL!$C$15, $D$11, 100%, $F$11)</f>
        <v>6.7588999999999997</v>
      </c>
      <c r="E283" s="12">
        <f>6.7647 * CHOOSE( CONTROL!$C$15, $D$11, 100%, $F$11)</f>
        <v>6.7647000000000004</v>
      </c>
      <c r="F283" s="4">
        <f>7.7663 * CHOOSE(CONTROL!$C$15, $D$11, 100%, $F$11)</f>
        <v>7.7663000000000002</v>
      </c>
      <c r="G283" s="8">
        <f>6.6043 * CHOOSE( CONTROL!$C$15, $D$11, 100%, $F$11)</f>
        <v>6.6043000000000003</v>
      </c>
      <c r="H283" s="4">
        <f>7.4942 * CHOOSE(CONTROL!$C$15, $D$11, 100%, $F$11)</f>
        <v>7.4942000000000002</v>
      </c>
      <c r="I283" s="8">
        <f>6.5412 * CHOOSE(CONTROL!$C$15, $D$11, 100%, $F$11)</f>
        <v>6.5411999999999999</v>
      </c>
      <c r="J283" s="4">
        <f>6.4798 * CHOOSE(CONTROL!$C$15, $D$11, 100%, $F$11)</f>
        <v>6.4798</v>
      </c>
      <c r="K283" s="4"/>
      <c r="L283" s="9">
        <v>27.3993</v>
      </c>
      <c r="M283" s="9">
        <v>12.063700000000001</v>
      </c>
      <c r="N283" s="9">
        <v>4.9444999999999997</v>
      </c>
      <c r="O283" s="9">
        <v>0.37459999999999999</v>
      </c>
      <c r="P283" s="9">
        <v>1.2939000000000001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6.8702 * CHOOSE(CONTROL!$C$15, $D$11, 100%, $F$11)</f>
        <v>6.8701999999999996</v>
      </c>
      <c r="C284" s="8">
        <f>6.8806 * CHOOSE(CONTROL!$C$15, $D$11, 100%, $F$11)</f>
        <v>6.8806000000000003</v>
      </c>
      <c r="D284" s="8">
        <f>6.8847 * CHOOSE( CONTROL!$C$15, $D$11, 100%, $F$11)</f>
        <v>6.8846999999999996</v>
      </c>
      <c r="E284" s="12">
        <f>6.8822 * CHOOSE( CONTROL!$C$15, $D$11, 100%, $F$11)</f>
        <v>6.8822000000000001</v>
      </c>
      <c r="F284" s="4">
        <f>7.8775 * CHOOSE(CONTROL!$C$15, $D$11, 100%, $F$11)</f>
        <v>7.8775000000000004</v>
      </c>
      <c r="G284" s="8">
        <f>6.6929 * CHOOSE( CONTROL!$C$15, $D$11, 100%, $F$11)</f>
        <v>6.6928999999999998</v>
      </c>
      <c r="H284" s="4">
        <f>7.6025 * CHOOSE(CONTROL!$C$15, $D$11, 100%, $F$11)</f>
        <v>7.6025</v>
      </c>
      <c r="I284" s="8">
        <f>6.6298 * CHOOSE(CONTROL!$C$15, $D$11, 100%, $F$11)</f>
        <v>6.6298000000000004</v>
      </c>
      <c r="J284" s="4">
        <f>6.5783 * CHOOSE(CONTROL!$C$15, $D$11, 100%, $F$11)</f>
        <v>6.5782999999999996</v>
      </c>
      <c r="K284" s="4"/>
      <c r="L284" s="9">
        <v>27.988800000000001</v>
      </c>
      <c r="M284" s="9">
        <v>11.6745</v>
      </c>
      <c r="N284" s="9">
        <v>4.7850000000000001</v>
      </c>
      <c r="O284" s="9">
        <v>0.36249999999999999</v>
      </c>
      <c r="P284" s="9">
        <v>1.1798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CONTROL!$C$32, 7.0584, 7.0531) * CHOOSE(CONTROL!$C$15, $D$11, 100%, $F$11)</f>
        <v>7.0583999999999998</v>
      </c>
      <c r="C285" s="8">
        <f>CHOOSE( CONTROL!$C$32, 7.0688, 7.0636) * CHOOSE(CONTROL!$C$15, $D$11, 100%, $F$11)</f>
        <v>7.0688000000000004</v>
      </c>
      <c r="D285" s="8">
        <f>CHOOSE( CONTROL!$C$32, 7.0817, 7.0764) * CHOOSE( CONTROL!$C$15, $D$11, 100%, $F$11)</f>
        <v>7.0816999999999997</v>
      </c>
      <c r="E285" s="12">
        <f>CHOOSE( CONTROL!$C$32, 7.0754, 7.0702) * CHOOSE( CONTROL!$C$15, $D$11, 100%, $F$11)</f>
        <v>7.0754000000000001</v>
      </c>
      <c r="F285" s="4">
        <f>CHOOSE( CONTROL!$C$32, 8.0813, 8.076) * CHOOSE(CONTROL!$C$15, $D$11, 100%, $F$11)</f>
        <v>8.0813000000000006</v>
      </c>
      <c r="G285" s="8">
        <f>CHOOSE( CONTROL!$C$32, 6.8819, 6.8768) * CHOOSE( CONTROL!$C$15, $D$11, 100%, $F$11)</f>
        <v>6.8818999999999999</v>
      </c>
      <c r="H285" s="4">
        <f>CHOOSE( CONTROL!$C$32, 7.8012, 7.7961) * CHOOSE(CONTROL!$C$15, $D$11, 100%, $F$11)</f>
        <v>7.8011999999999997</v>
      </c>
      <c r="I285" s="8">
        <f>CHOOSE( CONTROL!$C$32, 6.8155, 6.8105) * CHOOSE(CONTROL!$C$15, $D$11, 100%, $F$11)</f>
        <v>6.8155000000000001</v>
      </c>
      <c r="J285" s="4">
        <f>CHOOSE( CONTROL!$C$32, 6.7586, 6.7536) * CHOOSE(CONTROL!$C$15, $D$11, 100%, $F$11)</f>
        <v>6.7586000000000004</v>
      </c>
      <c r="K285" s="4"/>
      <c r="L285" s="9">
        <v>29.520499999999998</v>
      </c>
      <c r="M285" s="9">
        <v>12.063700000000001</v>
      </c>
      <c r="N285" s="9">
        <v>4.9444999999999997</v>
      </c>
      <c r="O285" s="9">
        <v>0.37459999999999999</v>
      </c>
      <c r="P285" s="9">
        <v>1.2192000000000001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CONTROL!$C$32, 6.9451, 6.9398) * CHOOSE(CONTROL!$C$15, $D$11, 100%, $F$11)</f>
        <v>6.9451000000000001</v>
      </c>
      <c r="C286" s="8">
        <f>CHOOSE( CONTROL!$C$32, 6.9555, 6.9503) * CHOOSE(CONTROL!$C$15, $D$11, 100%, $F$11)</f>
        <v>6.9554999999999998</v>
      </c>
      <c r="D286" s="8">
        <f>CHOOSE( CONTROL!$C$32, 6.9759, 6.9707) * CHOOSE( CONTROL!$C$15, $D$11, 100%, $F$11)</f>
        <v>6.9759000000000002</v>
      </c>
      <c r="E286" s="12">
        <f>CHOOSE( CONTROL!$C$32, 6.9669, 6.9617) * CHOOSE( CONTROL!$C$15, $D$11, 100%, $F$11)</f>
        <v>6.9668999999999999</v>
      </c>
      <c r="F286" s="4">
        <f>CHOOSE( CONTROL!$C$32, 7.9805, 7.9753) * CHOOSE(CONTROL!$C$15, $D$11, 100%, $F$11)</f>
        <v>7.9805000000000001</v>
      </c>
      <c r="G286" s="8">
        <f>CHOOSE( CONTROL!$C$32, 6.7753, 6.7702) * CHOOSE( CONTROL!$C$15, $D$11, 100%, $F$11)</f>
        <v>6.7752999999999997</v>
      </c>
      <c r="H286" s="4">
        <f>CHOOSE( CONTROL!$C$32, 7.7029, 7.6978) * CHOOSE(CONTROL!$C$15, $D$11, 100%, $F$11)</f>
        <v>7.7028999999999996</v>
      </c>
      <c r="I286" s="8">
        <f>CHOOSE( CONTROL!$C$32, 6.7121, 6.7071) * CHOOSE(CONTROL!$C$15, $D$11, 100%, $F$11)</f>
        <v>6.7121000000000004</v>
      </c>
      <c r="J286" s="4">
        <f>CHOOSE( CONTROL!$C$32, 6.65, 6.645) * CHOOSE(CONTROL!$C$15, $D$11, 100%, $F$11)</f>
        <v>6.65</v>
      </c>
      <c r="K286" s="4"/>
      <c r="L286" s="9">
        <v>28.568200000000001</v>
      </c>
      <c r="M286" s="9">
        <v>11.6745</v>
      </c>
      <c r="N286" s="9">
        <v>4.7850000000000001</v>
      </c>
      <c r="O286" s="9">
        <v>0.36249999999999999</v>
      </c>
      <c r="P286" s="9">
        <v>1.1798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CONTROL!$C$32, 7.2435, 7.2382) * CHOOSE(CONTROL!$C$15, $D$11, 100%, $F$11)</f>
        <v>7.2435</v>
      </c>
      <c r="C287" s="8">
        <f>CHOOSE( CONTROL!$C$32, 7.2539, 7.2487) * CHOOSE(CONTROL!$C$15, $D$11, 100%, $F$11)</f>
        <v>7.2538999999999998</v>
      </c>
      <c r="D287" s="8">
        <f>CHOOSE( CONTROL!$C$32, 7.2645, 7.2593) * CHOOSE( CONTROL!$C$15, $D$11, 100%, $F$11)</f>
        <v>7.2645</v>
      </c>
      <c r="E287" s="12">
        <f>CHOOSE( CONTROL!$C$32, 7.2591, 7.2539) * CHOOSE( CONTROL!$C$15, $D$11, 100%, $F$11)</f>
        <v>7.2591000000000001</v>
      </c>
      <c r="F287" s="4">
        <f>CHOOSE( CONTROL!$C$32, 8.2789, 8.2737) * CHOOSE(CONTROL!$C$15, $D$11, 100%, $F$11)</f>
        <v>8.2789000000000001</v>
      </c>
      <c r="G287" s="8">
        <f>CHOOSE( CONTROL!$C$32, 7.053, 7.0478) * CHOOSE( CONTROL!$C$15, $D$11, 100%, $F$11)</f>
        <v>7.0529999999999999</v>
      </c>
      <c r="H287" s="4">
        <f>CHOOSE( CONTROL!$C$32, 7.9938, 7.9887) * CHOOSE(CONTROL!$C$15, $D$11, 100%, $F$11)</f>
        <v>7.9938000000000002</v>
      </c>
      <c r="I287" s="8">
        <f>CHOOSE( CONTROL!$C$32, 7.0016, 6.9965) * CHOOSE(CONTROL!$C$15, $D$11, 100%, $F$11)</f>
        <v>7.0015999999999998</v>
      </c>
      <c r="J287" s="4">
        <f>CHOOSE( CONTROL!$C$32, 6.936, 6.9309) * CHOOSE(CONTROL!$C$15, $D$11, 100%, $F$11)</f>
        <v>6.9359999999999999</v>
      </c>
      <c r="K287" s="4"/>
      <c r="L287" s="9">
        <v>29.520499999999998</v>
      </c>
      <c r="M287" s="9">
        <v>12.063700000000001</v>
      </c>
      <c r="N287" s="9">
        <v>4.9444999999999997</v>
      </c>
      <c r="O287" s="9">
        <v>0.37459999999999999</v>
      </c>
      <c r="P287" s="9">
        <v>1.2192000000000001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CONTROL!$C$32, 6.6851, 6.6799) * CHOOSE(CONTROL!$C$15, $D$11, 100%, $F$11)</f>
        <v>6.6851000000000003</v>
      </c>
      <c r="C288" s="8">
        <f>CHOOSE( CONTROL!$C$32, 6.6956, 6.6903) * CHOOSE(CONTROL!$C$15, $D$11, 100%, $F$11)</f>
        <v>6.6955999999999998</v>
      </c>
      <c r="D288" s="8">
        <f>CHOOSE( CONTROL!$C$32, 6.7065, 6.7012) * CHOOSE( CONTROL!$C$15, $D$11, 100%, $F$11)</f>
        <v>6.7065000000000001</v>
      </c>
      <c r="E288" s="12">
        <f>CHOOSE( CONTROL!$C$32, 6.7009, 6.6957) * CHOOSE( CONTROL!$C$15, $D$11, 100%, $F$11)</f>
        <v>6.7008999999999999</v>
      </c>
      <c r="F288" s="4">
        <f>CHOOSE( CONTROL!$C$32, 7.7206, 7.7153) * CHOOSE(CONTROL!$C$15, $D$11, 100%, $F$11)</f>
        <v>7.7206000000000001</v>
      </c>
      <c r="G288" s="8">
        <f>CHOOSE( CONTROL!$C$32, 6.5092, 6.504) * CHOOSE( CONTROL!$C$15, $D$11, 100%, $F$11)</f>
        <v>6.5091999999999999</v>
      </c>
      <c r="H288" s="4">
        <f>CHOOSE( CONTROL!$C$32, 7.4495, 7.4444) * CHOOSE(CONTROL!$C$15, $D$11, 100%, $F$11)</f>
        <v>7.4494999999999996</v>
      </c>
      <c r="I288" s="8">
        <f>CHOOSE( CONTROL!$C$32, 6.4679, 6.4629) * CHOOSE(CONTROL!$C$15, $D$11, 100%, $F$11)</f>
        <v>6.4679000000000002</v>
      </c>
      <c r="J288" s="4">
        <f>CHOOSE( CONTROL!$C$32, 6.4009, 6.3959) * CHOOSE(CONTROL!$C$15, $D$11, 100%, $F$11)</f>
        <v>6.4009</v>
      </c>
      <c r="K288" s="4"/>
      <c r="L288" s="9">
        <v>29.520499999999998</v>
      </c>
      <c r="M288" s="9">
        <v>12.063700000000001</v>
      </c>
      <c r="N288" s="9">
        <v>4.9444999999999997</v>
      </c>
      <c r="O288" s="9">
        <v>0.37459999999999999</v>
      </c>
      <c r="P288" s="9">
        <v>1.2192000000000001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CONTROL!$C$32, 6.5453, 6.5401) * CHOOSE(CONTROL!$C$15, $D$11, 100%, $F$11)</f>
        <v>6.5453000000000001</v>
      </c>
      <c r="C289" s="8">
        <f>CHOOSE( CONTROL!$C$32, 6.5557, 6.5505) * CHOOSE(CONTROL!$C$15, $D$11, 100%, $F$11)</f>
        <v>6.5556999999999999</v>
      </c>
      <c r="D289" s="8">
        <f>CHOOSE( CONTROL!$C$32, 6.5668, 6.5616) * CHOOSE( CONTROL!$C$15, $D$11, 100%, $F$11)</f>
        <v>6.5667999999999997</v>
      </c>
      <c r="E289" s="12">
        <f>CHOOSE( CONTROL!$C$32, 6.5612, 6.556) * CHOOSE( CONTROL!$C$15, $D$11, 100%, $F$11)</f>
        <v>6.5612000000000004</v>
      </c>
      <c r="F289" s="4">
        <f>CHOOSE( CONTROL!$C$32, 7.5807, 7.5755) * CHOOSE(CONTROL!$C$15, $D$11, 100%, $F$11)</f>
        <v>7.5807000000000002</v>
      </c>
      <c r="G289" s="8">
        <f>CHOOSE( CONTROL!$C$32, 6.3731, 6.368) * CHOOSE( CONTROL!$C$15, $D$11, 100%, $F$11)</f>
        <v>6.3731</v>
      </c>
      <c r="H289" s="4">
        <f>CHOOSE( CONTROL!$C$32, 7.3132, 7.3081) * CHOOSE(CONTROL!$C$15, $D$11, 100%, $F$11)</f>
        <v>7.3132000000000001</v>
      </c>
      <c r="I289" s="8">
        <f>CHOOSE( CONTROL!$C$32, 6.3346, 6.3295) * CHOOSE(CONTROL!$C$15, $D$11, 100%, $F$11)</f>
        <v>6.3346</v>
      </c>
      <c r="J289" s="4">
        <f>CHOOSE( CONTROL!$C$32, 6.267, 6.2619) * CHOOSE(CONTROL!$C$15, $D$11, 100%, $F$11)</f>
        <v>6.2670000000000003</v>
      </c>
      <c r="K289" s="4"/>
      <c r="L289" s="9">
        <v>28.568200000000001</v>
      </c>
      <c r="M289" s="9">
        <v>11.6745</v>
      </c>
      <c r="N289" s="9">
        <v>4.7850000000000001</v>
      </c>
      <c r="O289" s="9">
        <v>0.36249999999999999</v>
      </c>
      <c r="P289" s="9">
        <v>1.1798</v>
      </c>
      <c r="Q289" s="9">
        <v>29.4696</v>
      </c>
      <c r="R289" s="9"/>
      <c r="S289" s="11"/>
    </row>
    <row r="290" spans="1:19" ht="15.75">
      <c r="A290" s="13">
        <v>50709</v>
      </c>
      <c r="B290" s="8">
        <f>6.8304 * CHOOSE(CONTROL!$C$15, $D$11, 100%, $F$11)</f>
        <v>6.8304</v>
      </c>
      <c r="C290" s="8">
        <f>6.8408 * CHOOSE(CONTROL!$C$15, $D$11, 100%, $F$11)</f>
        <v>6.8407999999999998</v>
      </c>
      <c r="D290" s="8">
        <f>6.8532 * CHOOSE( CONTROL!$C$15, $D$11, 100%, $F$11)</f>
        <v>6.8532000000000002</v>
      </c>
      <c r="E290" s="12">
        <f>6.848 * CHOOSE( CONTROL!$C$15, $D$11, 100%, $F$11)</f>
        <v>6.8479999999999999</v>
      </c>
      <c r="F290" s="4">
        <f>7.8658 * CHOOSE(CONTROL!$C$15, $D$11, 100%, $F$11)</f>
        <v>7.8658000000000001</v>
      </c>
      <c r="G290" s="8">
        <f>6.6503 * CHOOSE( CONTROL!$C$15, $D$11, 100%, $F$11)</f>
        <v>6.6502999999999997</v>
      </c>
      <c r="H290" s="4">
        <f>7.5911 * CHOOSE(CONTROL!$C$15, $D$11, 100%, $F$11)</f>
        <v>7.5911</v>
      </c>
      <c r="I290" s="8">
        <f>6.6092 * CHOOSE(CONTROL!$C$15, $D$11, 100%, $F$11)</f>
        <v>6.6092000000000004</v>
      </c>
      <c r="J290" s="4">
        <f>6.5401 * CHOOSE(CONTROL!$C$15, $D$11, 100%, $F$11)</f>
        <v>6.5400999999999998</v>
      </c>
      <c r="K290" s="4"/>
      <c r="L290" s="9">
        <v>28.921800000000001</v>
      </c>
      <c r="M290" s="9">
        <v>12.063700000000001</v>
      </c>
      <c r="N290" s="9">
        <v>4.9444999999999997</v>
      </c>
      <c r="O290" s="9">
        <v>0.37459999999999999</v>
      </c>
      <c r="P290" s="9">
        <v>1.2192000000000001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7.3662 * CHOOSE(CONTROL!$C$15, $D$11, 100%, $F$11)</f>
        <v>7.3662000000000001</v>
      </c>
      <c r="C291" s="8">
        <f>7.3767 * CHOOSE(CONTROL!$C$15, $D$11, 100%, $F$11)</f>
        <v>7.3766999999999996</v>
      </c>
      <c r="D291" s="8">
        <f>7.3604 * CHOOSE( CONTROL!$C$15, $D$11, 100%, $F$11)</f>
        <v>7.3604000000000003</v>
      </c>
      <c r="E291" s="12">
        <f>7.3652 * CHOOSE( CONTROL!$C$15, $D$11, 100%, $F$11)</f>
        <v>7.3651999999999997</v>
      </c>
      <c r="F291" s="4">
        <f>8.3604 * CHOOSE(CONTROL!$C$15, $D$11, 100%, $F$11)</f>
        <v>8.3604000000000003</v>
      </c>
      <c r="G291" s="8">
        <f>7.1936 * CHOOSE( CONTROL!$C$15, $D$11, 100%, $F$11)</f>
        <v>7.1936</v>
      </c>
      <c r="H291" s="4">
        <f>8.0733 * CHOOSE(CONTROL!$C$15, $D$11, 100%, $F$11)</f>
        <v>8.0732999999999997</v>
      </c>
      <c r="I291" s="8">
        <f>7.1598 * CHOOSE(CONTROL!$C$15, $D$11, 100%, $F$11)</f>
        <v>7.1597999999999997</v>
      </c>
      <c r="J291" s="4">
        <f>7.0536 * CHOOSE(CONTROL!$C$15, $D$11, 100%, $F$11)</f>
        <v>7.0536000000000003</v>
      </c>
      <c r="K291" s="4"/>
      <c r="L291" s="9">
        <v>26.515499999999999</v>
      </c>
      <c r="M291" s="9">
        <v>11.6745</v>
      </c>
      <c r="N291" s="9">
        <v>4.7850000000000001</v>
      </c>
      <c r="O291" s="9">
        <v>0.36249999999999999</v>
      </c>
      <c r="P291" s="9">
        <v>1.2522</v>
      </c>
      <c r="Q291" s="9">
        <v>29.4696</v>
      </c>
      <c r="R291" s="9"/>
      <c r="S291" s="11"/>
    </row>
    <row r="292" spans="1:19" ht="15.75">
      <c r="A292" s="13">
        <v>50770</v>
      </c>
      <c r="B292" s="8">
        <f>7.3528 * CHOOSE(CONTROL!$C$15, $D$11, 100%, $F$11)</f>
        <v>7.3528000000000002</v>
      </c>
      <c r="C292" s="8">
        <f>7.3633 * CHOOSE(CONTROL!$C$15, $D$11, 100%, $F$11)</f>
        <v>7.3632999999999997</v>
      </c>
      <c r="D292" s="8">
        <f>7.3493 * CHOOSE( CONTROL!$C$15, $D$11, 100%, $F$11)</f>
        <v>7.3493000000000004</v>
      </c>
      <c r="E292" s="12">
        <f>7.3533 * CHOOSE( CONTROL!$C$15, $D$11, 100%, $F$11)</f>
        <v>7.3532999999999999</v>
      </c>
      <c r="F292" s="4">
        <f>8.347 * CHOOSE(CONTROL!$C$15, $D$11, 100%, $F$11)</f>
        <v>8.3469999999999995</v>
      </c>
      <c r="G292" s="8">
        <f>7.1823 * CHOOSE( CONTROL!$C$15, $D$11, 100%, $F$11)</f>
        <v>7.1822999999999997</v>
      </c>
      <c r="H292" s="4">
        <f>8.0602 * CHOOSE(CONTROL!$C$15, $D$11, 100%, $F$11)</f>
        <v>8.0602</v>
      </c>
      <c r="I292" s="8">
        <f>7.1546 * CHOOSE(CONTROL!$C$15, $D$11, 100%, $F$11)</f>
        <v>7.1546000000000003</v>
      </c>
      <c r="J292" s="4">
        <f>7.0407 * CHOOSE(CONTROL!$C$15, $D$11, 100%, $F$11)</f>
        <v>7.0407000000000002</v>
      </c>
      <c r="K292" s="4"/>
      <c r="L292" s="9">
        <v>27.3993</v>
      </c>
      <c r="M292" s="9">
        <v>12.063700000000001</v>
      </c>
      <c r="N292" s="9">
        <v>4.9444999999999997</v>
      </c>
      <c r="O292" s="9">
        <v>0.37459999999999999</v>
      </c>
      <c r="P292" s="9">
        <v>1.2939000000000001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7.6337 * CHOOSE(CONTROL!$C$15, $D$11, 100%, $F$11)</f>
        <v>7.6337000000000002</v>
      </c>
      <c r="C293" s="8">
        <f>7.6441 * CHOOSE(CONTROL!$C$15, $D$11, 100%, $F$11)</f>
        <v>7.6440999999999999</v>
      </c>
      <c r="D293" s="8">
        <f>7.6434 * CHOOSE( CONTROL!$C$15, $D$11, 100%, $F$11)</f>
        <v>7.6433999999999997</v>
      </c>
      <c r="E293" s="12">
        <f>7.6425 * CHOOSE( CONTROL!$C$15, $D$11, 100%, $F$11)</f>
        <v>7.6425000000000001</v>
      </c>
      <c r="F293" s="4">
        <f>8.6566 * CHOOSE(CONTROL!$C$15, $D$11, 100%, $F$11)</f>
        <v>8.6565999999999992</v>
      </c>
      <c r="G293" s="8">
        <f>7.4696 * CHOOSE( CONTROL!$C$15, $D$11, 100%, $F$11)</f>
        <v>7.4695999999999998</v>
      </c>
      <c r="H293" s="4">
        <f>8.3619 * CHOOSE(CONTROL!$C$15, $D$11, 100%, $F$11)</f>
        <v>8.3619000000000003</v>
      </c>
      <c r="I293" s="8">
        <f>7.4221 * CHOOSE(CONTROL!$C$15, $D$11, 100%, $F$11)</f>
        <v>7.4221000000000004</v>
      </c>
      <c r="J293" s="4">
        <f>7.3098 * CHOOSE(CONTROL!$C$15, $D$11, 100%, $F$11)</f>
        <v>7.3098000000000001</v>
      </c>
      <c r="K293" s="4"/>
      <c r="L293" s="9">
        <v>27.3993</v>
      </c>
      <c r="M293" s="9">
        <v>12.063700000000001</v>
      </c>
      <c r="N293" s="9">
        <v>4.9444999999999997</v>
      </c>
      <c r="O293" s="9">
        <v>0.37459999999999999</v>
      </c>
      <c r="P293" s="9">
        <v>1.2939000000000001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7.1405 * CHOOSE(CONTROL!$C$15, $D$11, 100%, $F$11)</f>
        <v>7.1405000000000003</v>
      </c>
      <c r="C294" s="8">
        <f>7.1509 * CHOOSE(CONTROL!$C$15, $D$11, 100%, $F$11)</f>
        <v>7.1509</v>
      </c>
      <c r="D294" s="8">
        <f>7.1524 * CHOOSE( CONTROL!$C$15, $D$11, 100%, $F$11)</f>
        <v>7.1524000000000001</v>
      </c>
      <c r="E294" s="12">
        <f>7.1507 * CHOOSE( CONTROL!$C$15, $D$11, 100%, $F$11)</f>
        <v>7.1506999999999996</v>
      </c>
      <c r="F294" s="4">
        <f>8.1556 * CHOOSE(CONTROL!$C$15, $D$11, 100%, $F$11)</f>
        <v>8.1555999999999997</v>
      </c>
      <c r="G294" s="8">
        <f>6.9887 * CHOOSE( CONTROL!$C$15, $D$11, 100%, $F$11)</f>
        <v>6.9886999999999997</v>
      </c>
      <c r="H294" s="4">
        <f>7.8736 * CHOOSE(CONTROL!$C$15, $D$11, 100%, $F$11)</f>
        <v>7.8735999999999997</v>
      </c>
      <c r="I294" s="8">
        <f>6.9383 * CHOOSE(CONTROL!$C$15, $D$11, 100%, $F$11)</f>
        <v>6.9382999999999999</v>
      </c>
      <c r="J294" s="4">
        <f>6.8373 * CHOOSE(CONTROL!$C$15, $D$11, 100%, $F$11)</f>
        <v>6.8372999999999999</v>
      </c>
      <c r="K294" s="4"/>
      <c r="L294" s="9">
        <v>24.747800000000002</v>
      </c>
      <c r="M294" s="9">
        <v>10.8962</v>
      </c>
      <c r="N294" s="9">
        <v>4.4660000000000002</v>
      </c>
      <c r="O294" s="9">
        <v>0.33829999999999999</v>
      </c>
      <c r="P294" s="9">
        <v>1.1687000000000001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6.9886 * CHOOSE(CONTROL!$C$15, $D$11, 100%, $F$11)</f>
        <v>6.9885999999999999</v>
      </c>
      <c r="C295" s="8">
        <f>6.999 * CHOOSE(CONTROL!$C$15, $D$11, 100%, $F$11)</f>
        <v>6.9989999999999997</v>
      </c>
      <c r="D295" s="8">
        <f>6.98 * CHOOSE( CONTROL!$C$15, $D$11, 100%, $F$11)</f>
        <v>6.98</v>
      </c>
      <c r="E295" s="12">
        <f>6.9858 * CHOOSE( CONTROL!$C$15, $D$11, 100%, $F$11)</f>
        <v>6.9858000000000002</v>
      </c>
      <c r="F295" s="4">
        <f>7.9875 * CHOOSE(CONTROL!$C$15, $D$11, 100%, $F$11)</f>
        <v>7.9874999999999998</v>
      </c>
      <c r="G295" s="8">
        <f>6.8199 * CHOOSE( CONTROL!$C$15, $D$11, 100%, $F$11)</f>
        <v>6.8198999999999996</v>
      </c>
      <c r="H295" s="4">
        <f>7.7097 * CHOOSE(CONTROL!$C$15, $D$11, 100%, $F$11)</f>
        <v>7.7096999999999998</v>
      </c>
      <c r="I295" s="8">
        <f>6.7532 * CHOOSE(CONTROL!$C$15, $D$11, 100%, $F$11)</f>
        <v>6.7531999999999996</v>
      </c>
      <c r="J295" s="4">
        <f>6.6917 * CHOOSE(CONTROL!$C$15, $D$11, 100%, $F$11)</f>
        <v>6.6917</v>
      </c>
      <c r="K295" s="4"/>
      <c r="L295" s="9">
        <v>27.3993</v>
      </c>
      <c r="M295" s="9">
        <v>12.063700000000001</v>
      </c>
      <c r="N295" s="9">
        <v>4.9444999999999997</v>
      </c>
      <c r="O295" s="9">
        <v>0.37459999999999999</v>
      </c>
      <c r="P295" s="9">
        <v>1.2939000000000001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7.0947 * CHOOSE(CONTROL!$C$15, $D$11, 100%, $F$11)</f>
        <v>7.0946999999999996</v>
      </c>
      <c r="C296" s="8">
        <f>7.1052 * CHOOSE(CONTROL!$C$15, $D$11, 100%, $F$11)</f>
        <v>7.1052</v>
      </c>
      <c r="D296" s="8">
        <f>7.1092 * CHOOSE( CONTROL!$C$15, $D$11, 100%, $F$11)</f>
        <v>7.1092000000000004</v>
      </c>
      <c r="E296" s="12">
        <f>7.1067 * CHOOSE( CONTROL!$C$15, $D$11, 100%, $F$11)</f>
        <v>7.1067</v>
      </c>
      <c r="F296" s="4">
        <f>8.102 * CHOOSE(CONTROL!$C$15, $D$11, 100%, $F$11)</f>
        <v>8.1020000000000003</v>
      </c>
      <c r="G296" s="8">
        <f>6.9117 * CHOOSE( CONTROL!$C$15, $D$11, 100%, $F$11)</f>
        <v>6.9116999999999997</v>
      </c>
      <c r="H296" s="4">
        <f>7.8213 * CHOOSE(CONTROL!$C$15, $D$11, 100%, $F$11)</f>
        <v>7.8212999999999999</v>
      </c>
      <c r="I296" s="8">
        <f>6.845 * CHOOSE(CONTROL!$C$15, $D$11, 100%, $F$11)</f>
        <v>6.8449999999999998</v>
      </c>
      <c r="J296" s="4">
        <f>6.7934 * CHOOSE(CONTROL!$C$15, $D$11, 100%, $F$11)</f>
        <v>6.7934000000000001</v>
      </c>
      <c r="K296" s="4"/>
      <c r="L296" s="9">
        <v>27.988800000000001</v>
      </c>
      <c r="M296" s="9">
        <v>11.6745</v>
      </c>
      <c r="N296" s="9">
        <v>4.7850000000000001</v>
      </c>
      <c r="O296" s="9">
        <v>0.36249999999999999</v>
      </c>
      <c r="P296" s="9">
        <v>1.1798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CONTROL!$C$32, 7.2889, 7.2836) * CHOOSE(CONTROL!$C$15, $D$11, 100%, $F$11)</f>
        <v>7.2888999999999999</v>
      </c>
      <c r="C297" s="8">
        <f>CHOOSE( CONTROL!$C$32, 7.2993, 7.2941) * CHOOSE(CONTROL!$C$15, $D$11, 100%, $F$11)</f>
        <v>7.2992999999999997</v>
      </c>
      <c r="D297" s="8">
        <f>CHOOSE( CONTROL!$C$32, 7.3122, 7.3069) * CHOOSE( CONTROL!$C$15, $D$11, 100%, $F$11)</f>
        <v>7.3121999999999998</v>
      </c>
      <c r="E297" s="12">
        <f>CHOOSE( CONTROL!$C$32, 7.3059, 7.3007) * CHOOSE( CONTROL!$C$15, $D$11, 100%, $F$11)</f>
        <v>7.3059000000000003</v>
      </c>
      <c r="F297" s="4">
        <f>CHOOSE( CONTROL!$C$32, 8.3118, 8.3065) * CHOOSE(CONTROL!$C$15, $D$11, 100%, $F$11)</f>
        <v>8.3117999999999999</v>
      </c>
      <c r="G297" s="8">
        <f>CHOOSE( CONTROL!$C$32, 7.1066, 7.1015) * CHOOSE( CONTROL!$C$15, $D$11, 100%, $F$11)</f>
        <v>7.1066000000000003</v>
      </c>
      <c r="H297" s="4">
        <f>CHOOSE( CONTROL!$C$32, 8.0259, 8.0207) * CHOOSE(CONTROL!$C$15, $D$11, 100%, $F$11)</f>
        <v>8.0259</v>
      </c>
      <c r="I297" s="8">
        <f>CHOOSE( CONTROL!$C$32, 7.0365, 7.0315) * CHOOSE(CONTROL!$C$15, $D$11, 100%, $F$11)</f>
        <v>7.0365000000000002</v>
      </c>
      <c r="J297" s="4">
        <f>CHOOSE( CONTROL!$C$32, 6.9795, 6.9744) * CHOOSE(CONTROL!$C$15, $D$11, 100%, $F$11)</f>
        <v>6.9794999999999998</v>
      </c>
      <c r="K297" s="4"/>
      <c r="L297" s="9">
        <v>29.520499999999998</v>
      </c>
      <c r="M297" s="9">
        <v>12.063700000000001</v>
      </c>
      <c r="N297" s="9">
        <v>4.9444999999999997</v>
      </c>
      <c r="O297" s="9">
        <v>0.37459999999999999</v>
      </c>
      <c r="P297" s="9">
        <v>1.2192000000000001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CONTROL!$C$32, 7.1719, 7.1666) * CHOOSE(CONTROL!$C$15, $D$11, 100%, $F$11)</f>
        <v>7.1718999999999999</v>
      </c>
      <c r="C298" s="8">
        <f>CHOOSE( CONTROL!$C$32, 7.1823, 7.1771) * CHOOSE(CONTROL!$C$15, $D$11, 100%, $F$11)</f>
        <v>7.1822999999999997</v>
      </c>
      <c r="D298" s="8">
        <f>CHOOSE( CONTROL!$C$32, 7.2027, 7.1975) * CHOOSE( CONTROL!$C$15, $D$11, 100%, $F$11)</f>
        <v>7.2027000000000001</v>
      </c>
      <c r="E298" s="12">
        <f>CHOOSE( CONTROL!$C$32, 7.1937, 7.1885) * CHOOSE( CONTROL!$C$15, $D$11, 100%, $F$11)</f>
        <v>7.1936999999999998</v>
      </c>
      <c r="F298" s="4">
        <f>CHOOSE( CONTROL!$C$32, 8.2073, 8.202) * CHOOSE(CONTROL!$C$15, $D$11, 100%, $F$11)</f>
        <v>8.2073</v>
      </c>
      <c r="G298" s="8">
        <f>CHOOSE( CONTROL!$C$32, 6.9964, 6.9913) * CHOOSE( CONTROL!$C$15, $D$11, 100%, $F$11)</f>
        <v>6.9964000000000004</v>
      </c>
      <c r="H298" s="4">
        <f>CHOOSE( CONTROL!$C$32, 7.924, 7.9189) * CHOOSE(CONTROL!$C$15, $D$11, 100%, $F$11)</f>
        <v>7.9240000000000004</v>
      </c>
      <c r="I298" s="8">
        <f>CHOOSE( CONTROL!$C$32, 6.9295, 6.9245) * CHOOSE(CONTROL!$C$15, $D$11, 100%, $F$11)</f>
        <v>6.9295</v>
      </c>
      <c r="J298" s="4">
        <f>CHOOSE( CONTROL!$C$32, 6.8673, 6.8623) * CHOOSE(CONTROL!$C$15, $D$11, 100%, $F$11)</f>
        <v>6.8673000000000002</v>
      </c>
      <c r="K298" s="4"/>
      <c r="L298" s="9">
        <v>28.568200000000001</v>
      </c>
      <c r="M298" s="9">
        <v>11.6745</v>
      </c>
      <c r="N298" s="9">
        <v>4.7850000000000001</v>
      </c>
      <c r="O298" s="9">
        <v>0.36249999999999999</v>
      </c>
      <c r="P298" s="9">
        <v>1.1798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CONTROL!$C$32, 7.48, 7.4748) * CHOOSE(CONTROL!$C$15, $D$11, 100%, $F$11)</f>
        <v>7.48</v>
      </c>
      <c r="C299" s="8">
        <f>CHOOSE( CONTROL!$C$32, 7.4905, 7.4852) * CHOOSE(CONTROL!$C$15, $D$11, 100%, $F$11)</f>
        <v>7.4904999999999999</v>
      </c>
      <c r="D299" s="8">
        <f>CHOOSE( CONTROL!$C$32, 7.5011, 7.4958) * CHOOSE( CONTROL!$C$15, $D$11, 100%, $F$11)</f>
        <v>7.5011000000000001</v>
      </c>
      <c r="E299" s="12">
        <f>CHOOSE( CONTROL!$C$32, 7.4957, 7.4904) * CHOOSE( CONTROL!$C$15, $D$11, 100%, $F$11)</f>
        <v>7.4957000000000003</v>
      </c>
      <c r="F299" s="4">
        <f>CHOOSE( CONTROL!$C$32, 8.5155, 8.5102) * CHOOSE(CONTROL!$C$15, $D$11, 100%, $F$11)</f>
        <v>8.5154999999999994</v>
      </c>
      <c r="G299" s="8">
        <f>CHOOSE( CONTROL!$C$32, 7.2835, 7.2784) * CHOOSE( CONTROL!$C$15, $D$11, 100%, $F$11)</f>
        <v>7.2835000000000001</v>
      </c>
      <c r="H299" s="4">
        <f>CHOOSE( CONTROL!$C$32, 8.2244, 8.2193) * CHOOSE(CONTROL!$C$15, $D$11, 100%, $F$11)</f>
        <v>8.2243999999999993</v>
      </c>
      <c r="I299" s="8">
        <f>CHOOSE( CONTROL!$C$32, 7.2284, 7.2233) * CHOOSE(CONTROL!$C$15, $D$11, 100%, $F$11)</f>
        <v>7.2283999999999997</v>
      </c>
      <c r="J299" s="4">
        <f>CHOOSE( CONTROL!$C$32, 7.1626, 7.1576) * CHOOSE(CONTROL!$C$15, $D$11, 100%, $F$11)</f>
        <v>7.1626000000000003</v>
      </c>
      <c r="K299" s="4"/>
      <c r="L299" s="9">
        <v>29.520499999999998</v>
      </c>
      <c r="M299" s="9">
        <v>12.063700000000001</v>
      </c>
      <c r="N299" s="9">
        <v>4.9444999999999997</v>
      </c>
      <c r="O299" s="9">
        <v>0.37459999999999999</v>
      </c>
      <c r="P299" s="9">
        <v>1.2192000000000001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CONTROL!$C$32, 6.9034, 6.8982) * CHOOSE(CONTROL!$C$15, $D$11, 100%, $F$11)</f>
        <v>6.9034000000000004</v>
      </c>
      <c r="C300" s="8">
        <f>CHOOSE( CONTROL!$C$32, 6.9139, 6.9086) * CHOOSE(CONTROL!$C$15, $D$11, 100%, $F$11)</f>
        <v>6.9138999999999999</v>
      </c>
      <c r="D300" s="8">
        <f>CHOOSE( CONTROL!$C$32, 6.9248, 6.9195) * CHOOSE( CONTROL!$C$15, $D$11, 100%, $F$11)</f>
        <v>6.9248000000000003</v>
      </c>
      <c r="E300" s="12">
        <f>CHOOSE( CONTROL!$C$32, 6.9192, 6.914) * CHOOSE( CONTROL!$C$15, $D$11, 100%, $F$11)</f>
        <v>6.9192</v>
      </c>
      <c r="F300" s="4">
        <f>CHOOSE( CONTROL!$C$32, 7.9389, 7.9336) * CHOOSE(CONTROL!$C$15, $D$11, 100%, $F$11)</f>
        <v>7.9389000000000003</v>
      </c>
      <c r="G300" s="8">
        <f>CHOOSE( CONTROL!$C$32, 6.722, 6.7168) * CHOOSE( CONTROL!$C$15, $D$11, 100%, $F$11)</f>
        <v>6.7220000000000004</v>
      </c>
      <c r="H300" s="4">
        <f>CHOOSE( CONTROL!$C$32, 7.6623, 7.6572) * CHOOSE(CONTROL!$C$15, $D$11, 100%, $F$11)</f>
        <v>7.6623000000000001</v>
      </c>
      <c r="I300" s="8">
        <f>CHOOSE( CONTROL!$C$32, 6.6772, 6.6721) * CHOOSE(CONTROL!$C$15, $D$11, 100%, $F$11)</f>
        <v>6.6772</v>
      </c>
      <c r="J300" s="4">
        <f>CHOOSE( CONTROL!$C$32, 6.6101, 6.6051) * CHOOSE(CONTROL!$C$15, $D$11, 100%, $F$11)</f>
        <v>6.6101000000000001</v>
      </c>
      <c r="K300" s="4"/>
      <c r="L300" s="9">
        <v>29.520499999999998</v>
      </c>
      <c r="M300" s="9">
        <v>12.063700000000001</v>
      </c>
      <c r="N300" s="9">
        <v>4.9444999999999997</v>
      </c>
      <c r="O300" s="9">
        <v>0.37459999999999999</v>
      </c>
      <c r="P300" s="9">
        <v>1.2192000000000001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CONTROL!$C$32, 6.759, 6.7538) * CHOOSE(CONTROL!$C$15, $D$11, 100%, $F$11)</f>
        <v>6.7590000000000003</v>
      </c>
      <c r="C301" s="8">
        <f>CHOOSE( CONTROL!$C$32, 6.7695, 6.7642) * CHOOSE(CONTROL!$C$15, $D$11, 100%, $F$11)</f>
        <v>6.7694999999999999</v>
      </c>
      <c r="D301" s="8">
        <f>CHOOSE( CONTROL!$C$32, 6.7805, 6.7753) * CHOOSE( CONTROL!$C$15, $D$11, 100%, $F$11)</f>
        <v>6.7805</v>
      </c>
      <c r="E301" s="12">
        <f>CHOOSE( CONTROL!$C$32, 6.7749, 6.7697) * CHOOSE( CONTROL!$C$15, $D$11, 100%, $F$11)</f>
        <v>6.7748999999999997</v>
      </c>
      <c r="F301" s="4">
        <f>CHOOSE( CONTROL!$C$32, 7.7945, 7.7892) * CHOOSE(CONTROL!$C$15, $D$11, 100%, $F$11)</f>
        <v>7.7945000000000002</v>
      </c>
      <c r="G301" s="8">
        <f>CHOOSE( CONTROL!$C$32, 6.5814, 6.5763) * CHOOSE( CONTROL!$C$15, $D$11, 100%, $F$11)</f>
        <v>6.5814000000000004</v>
      </c>
      <c r="H301" s="4">
        <f>CHOOSE( CONTROL!$C$32, 7.5216, 7.5165) * CHOOSE(CONTROL!$C$15, $D$11, 100%, $F$11)</f>
        <v>7.5216000000000003</v>
      </c>
      <c r="I301" s="8">
        <f>CHOOSE( CONTROL!$C$32, 6.5394, 6.5344) * CHOOSE(CONTROL!$C$15, $D$11, 100%, $F$11)</f>
        <v>6.5393999999999997</v>
      </c>
      <c r="J301" s="4">
        <f>CHOOSE( CONTROL!$C$32, 6.4717, 6.4667) * CHOOSE(CONTROL!$C$15, $D$11, 100%, $F$11)</f>
        <v>6.4717000000000002</v>
      </c>
      <c r="K301" s="4"/>
      <c r="L301" s="9">
        <v>28.568200000000001</v>
      </c>
      <c r="M301" s="9">
        <v>11.6745</v>
      </c>
      <c r="N301" s="9">
        <v>4.7850000000000001</v>
      </c>
      <c r="O301" s="9">
        <v>0.36249999999999999</v>
      </c>
      <c r="P301" s="9">
        <v>1.1798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7.0536 * CHOOSE(CONTROL!$C$15, $D$11, 100%, $F$11)</f>
        <v>7.0536000000000003</v>
      </c>
      <c r="C302" s="8">
        <f>7.064 * CHOOSE(CONTROL!$C$15, $D$11, 100%, $F$11)</f>
        <v>7.0640000000000001</v>
      </c>
      <c r="D302" s="8">
        <f>7.0764 * CHOOSE( CONTROL!$C$15, $D$11, 100%, $F$11)</f>
        <v>7.0763999999999996</v>
      </c>
      <c r="E302" s="12">
        <f>7.0712 * CHOOSE( CONTROL!$C$15, $D$11, 100%, $F$11)</f>
        <v>7.0712000000000002</v>
      </c>
      <c r="F302" s="4">
        <f>8.089 * CHOOSE(CONTROL!$C$15, $D$11, 100%, $F$11)</f>
        <v>8.0890000000000004</v>
      </c>
      <c r="G302" s="8">
        <f>6.8679 * CHOOSE( CONTROL!$C$15, $D$11, 100%, $F$11)</f>
        <v>6.8678999999999997</v>
      </c>
      <c r="H302" s="4">
        <f>7.8087 * CHOOSE(CONTROL!$C$15, $D$11, 100%, $F$11)</f>
        <v>7.8087</v>
      </c>
      <c r="I302" s="8">
        <f>6.8232 * CHOOSE(CONTROL!$C$15, $D$11, 100%, $F$11)</f>
        <v>6.8231999999999999</v>
      </c>
      <c r="J302" s="4">
        <f>6.754 * CHOOSE(CONTROL!$C$15, $D$11, 100%, $F$11)</f>
        <v>6.7539999999999996</v>
      </c>
      <c r="K302" s="4"/>
      <c r="L302" s="9">
        <v>28.921800000000001</v>
      </c>
      <c r="M302" s="9">
        <v>12.063700000000001</v>
      </c>
      <c r="N302" s="9">
        <v>4.9444999999999997</v>
      </c>
      <c r="O302" s="9">
        <v>0.37459999999999999</v>
      </c>
      <c r="P302" s="9">
        <v>1.2192000000000001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7.607 * CHOOSE(CONTROL!$C$15, $D$11, 100%, $F$11)</f>
        <v>7.6070000000000002</v>
      </c>
      <c r="C303" s="8">
        <f>7.6174 * CHOOSE(CONTROL!$C$15, $D$11, 100%, $F$11)</f>
        <v>7.6173999999999999</v>
      </c>
      <c r="D303" s="8">
        <f>7.6012 * CHOOSE( CONTROL!$C$15, $D$11, 100%, $F$11)</f>
        <v>7.6012000000000004</v>
      </c>
      <c r="E303" s="12">
        <f>7.606 * CHOOSE( CONTROL!$C$15, $D$11, 100%, $F$11)</f>
        <v>7.6059999999999999</v>
      </c>
      <c r="F303" s="4">
        <f>8.6012 * CHOOSE(CONTROL!$C$15, $D$11, 100%, $F$11)</f>
        <v>8.6012000000000004</v>
      </c>
      <c r="G303" s="8">
        <f>7.4283 * CHOOSE( CONTROL!$C$15, $D$11, 100%, $F$11)</f>
        <v>7.4283000000000001</v>
      </c>
      <c r="H303" s="4">
        <f>8.3079 * CHOOSE(CONTROL!$C$15, $D$11, 100%, $F$11)</f>
        <v>8.3079000000000001</v>
      </c>
      <c r="I303" s="8">
        <f>7.3906 * CHOOSE(CONTROL!$C$15, $D$11, 100%, $F$11)</f>
        <v>7.3906000000000001</v>
      </c>
      <c r="J303" s="4">
        <f>7.2842 * CHOOSE(CONTROL!$C$15, $D$11, 100%, $F$11)</f>
        <v>7.2842000000000002</v>
      </c>
      <c r="K303" s="4"/>
      <c r="L303" s="9">
        <v>26.515499999999999</v>
      </c>
      <c r="M303" s="9">
        <v>11.6745</v>
      </c>
      <c r="N303" s="9">
        <v>4.7850000000000001</v>
      </c>
      <c r="O303" s="9">
        <v>0.36249999999999999</v>
      </c>
      <c r="P303" s="9">
        <v>1.2522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7.5931 * CHOOSE(CONTROL!$C$15, $D$11, 100%, $F$11)</f>
        <v>7.5930999999999997</v>
      </c>
      <c r="C304" s="8">
        <f>7.6036 * CHOOSE(CONTROL!$C$15, $D$11, 100%, $F$11)</f>
        <v>7.6036000000000001</v>
      </c>
      <c r="D304" s="8">
        <f>7.5896 * CHOOSE( CONTROL!$C$15, $D$11, 100%, $F$11)</f>
        <v>7.5895999999999999</v>
      </c>
      <c r="E304" s="12">
        <f>7.5936 * CHOOSE( CONTROL!$C$15, $D$11, 100%, $F$11)</f>
        <v>7.5936000000000003</v>
      </c>
      <c r="F304" s="4">
        <f>8.5873 * CHOOSE(CONTROL!$C$15, $D$11, 100%, $F$11)</f>
        <v>8.5873000000000008</v>
      </c>
      <c r="G304" s="8">
        <f>7.4166 * CHOOSE( CONTROL!$C$15, $D$11, 100%, $F$11)</f>
        <v>7.4165999999999999</v>
      </c>
      <c r="H304" s="4">
        <f>8.2945 * CHOOSE(CONTROL!$C$15, $D$11, 100%, $F$11)</f>
        <v>8.2944999999999993</v>
      </c>
      <c r="I304" s="8">
        <f>7.3849 * CHOOSE(CONTROL!$C$15, $D$11, 100%, $F$11)</f>
        <v>7.3849</v>
      </c>
      <c r="J304" s="4">
        <f>7.271 * CHOOSE(CONTROL!$C$15, $D$11, 100%, $F$11)</f>
        <v>7.2709999999999999</v>
      </c>
      <c r="K304" s="4"/>
      <c r="L304" s="9">
        <v>27.3993</v>
      </c>
      <c r="M304" s="9">
        <v>12.063700000000001</v>
      </c>
      <c r="N304" s="9">
        <v>4.9444999999999997</v>
      </c>
      <c r="O304" s="9">
        <v>0.37459999999999999</v>
      </c>
      <c r="P304" s="9">
        <v>1.2939000000000001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7.8832 * CHOOSE(CONTROL!$C$15, $D$11, 100%, $F$11)</f>
        <v>7.8832000000000004</v>
      </c>
      <c r="C305" s="8">
        <f>7.8936 * CHOOSE(CONTROL!$C$15, $D$11, 100%, $F$11)</f>
        <v>7.8936000000000002</v>
      </c>
      <c r="D305" s="8">
        <f>7.8929 * CHOOSE( CONTROL!$C$15, $D$11, 100%, $F$11)</f>
        <v>7.8929</v>
      </c>
      <c r="E305" s="12">
        <f>7.892 * CHOOSE( CONTROL!$C$15, $D$11, 100%, $F$11)</f>
        <v>7.8920000000000003</v>
      </c>
      <c r="F305" s="4">
        <f>8.9061 * CHOOSE(CONTROL!$C$15, $D$11, 100%, $F$11)</f>
        <v>8.9061000000000003</v>
      </c>
      <c r="G305" s="8">
        <f>7.7128 * CHOOSE( CONTROL!$C$15, $D$11, 100%, $F$11)</f>
        <v>7.7127999999999997</v>
      </c>
      <c r="H305" s="4">
        <f>8.6051 * CHOOSE(CONTROL!$C$15, $D$11, 100%, $F$11)</f>
        <v>8.6051000000000002</v>
      </c>
      <c r="I305" s="8">
        <f>7.6612 * CHOOSE(CONTROL!$C$15, $D$11, 100%, $F$11)</f>
        <v>7.6612</v>
      </c>
      <c r="J305" s="4">
        <f>7.5489 * CHOOSE(CONTROL!$C$15, $D$11, 100%, $F$11)</f>
        <v>7.5488999999999997</v>
      </c>
      <c r="K305" s="4"/>
      <c r="L305" s="9">
        <v>27.3993</v>
      </c>
      <c r="M305" s="9">
        <v>12.063700000000001</v>
      </c>
      <c r="N305" s="9">
        <v>4.9444999999999997</v>
      </c>
      <c r="O305" s="9">
        <v>0.37459999999999999</v>
      </c>
      <c r="P305" s="9">
        <v>1.2939000000000001</v>
      </c>
      <c r="Q305" s="9">
        <v>30.3217</v>
      </c>
      <c r="R305" s="9"/>
      <c r="S305" s="11"/>
    </row>
    <row r="306" spans="1:19" ht="15.75">
      <c r="A306" s="13">
        <v>51194</v>
      </c>
      <c r="B306" s="8">
        <f>7.3738 * CHOOSE(CONTROL!$C$15, $D$11, 100%, $F$11)</f>
        <v>7.3738000000000001</v>
      </c>
      <c r="C306" s="8">
        <f>7.3843 * CHOOSE(CONTROL!$C$15, $D$11, 100%, $F$11)</f>
        <v>7.3842999999999996</v>
      </c>
      <c r="D306" s="8">
        <f>7.3858 * CHOOSE( CONTROL!$C$15, $D$11, 100%, $F$11)</f>
        <v>7.3857999999999997</v>
      </c>
      <c r="E306" s="12">
        <f>7.3841 * CHOOSE( CONTROL!$C$15, $D$11, 100%, $F$11)</f>
        <v>7.3841000000000001</v>
      </c>
      <c r="F306" s="4">
        <f>8.3889 * CHOOSE(CONTROL!$C$15, $D$11, 100%, $F$11)</f>
        <v>8.3888999999999996</v>
      </c>
      <c r="G306" s="8">
        <f>7.2161 * CHOOSE( CONTROL!$C$15, $D$11, 100%, $F$11)</f>
        <v>7.2161</v>
      </c>
      <c r="H306" s="4">
        <f>8.101 * CHOOSE(CONTROL!$C$15, $D$11, 100%, $F$11)</f>
        <v>8.1010000000000009</v>
      </c>
      <c r="I306" s="8">
        <f>7.162 * CHOOSE(CONTROL!$C$15, $D$11, 100%, $F$11)</f>
        <v>7.1619999999999999</v>
      </c>
      <c r="J306" s="4">
        <f>7.0609 * CHOOSE(CONTROL!$C$15, $D$11, 100%, $F$11)</f>
        <v>7.0609000000000002</v>
      </c>
      <c r="K306" s="4"/>
      <c r="L306" s="9">
        <v>25.631599999999999</v>
      </c>
      <c r="M306" s="9">
        <v>11.285299999999999</v>
      </c>
      <c r="N306" s="9">
        <v>4.6254999999999997</v>
      </c>
      <c r="O306" s="9">
        <v>0.35039999999999999</v>
      </c>
      <c r="P306" s="9">
        <v>1.2104999999999999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7.217 * CHOOSE(CONTROL!$C$15, $D$11, 100%, $F$11)</f>
        <v>7.2169999999999996</v>
      </c>
      <c r="C307" s="8">
        <f>7.2274 * CHOOSE(CONTROL!$C$15, $D$11, 100%, $F$11)</f>
        <v>7.2274000000000003</v>
      </c>
      <c r="D307" s="8">
        <f>7.2084 * CHOOSE( CONTROL!$C$15, $D$11, 100%, $F$11)</f>
        <v>7.2084000000000001</v>
      </c>
      <c r="E307" s="12">
        <f>7.2142 * CHOOSE( CONTROL!$C$15, $D$11, 100%, $F$11)</f>
        <v>7.2141999999999999</v>
      </c>
      <c r="F307" s="4">
        <f>8.2159 * CHOOSE(CONTROL!$C$15, $D$11, 100%, $F$11)</f>
        <v>8.2158999999999995</v>
      </c>
      <c r="G307" s="8">
        <f>7.0425 * CHOOSE( CONTROL!$C$15, $D$11, 100%, $F$11)</f>
        <v>7.0425000000000004</v>
      </c>
      <c r="H307" s="4">
        <f>7.9324 * CHOOSE(CONTROL!$C$15, $D$11, 100%, $F$11)</f>
        <v>7.9324000000000003</v>
      </c>
      <c r="I307" s="8">
        <f>6.9721 * CHOOSE(CONTROL!$C$15, $D$11, 100%, $F$11)</f>
        <v>6.9721000000000002</v>
      </c>
      <c r="J307" s="4">
        <f>6.9105 * CHOOSE(CONTROL!$C$15, $D$11, 100%, $F$11)</f>
        <v>6.9104999999999999</v>
      </c>
      <c r="K307" s="4"/>
      <c r="L307" s="9">
        <v>27.3993</v>
      </c>
      <c r="M307" s="9">
        <v>12.063700000000001</v>
      </c>
      <c r="N307" s="9">
        <v>4.9444999999999997</v>
      </c>
      <c r="O307" s="9">
        <v>0.37459999999999999</v>
      </c>
      <c r="P307" s="9">
        <v>1.2939000000000001</v>
      </c>
      <c r="Q307" s="9">
        <v>30.3217</v>
      </c>
      <c r="R307" s="9"/>
      <c r="S307" s="11"/>
    </row>
    <row r="308" spans="1:19" ht="15.75">
      <c r="A308" s="13">
        <v>51256</v>
      </c>
      <c r="B308" s="8">
        <f>7.3266 * CHOOSE(CONTROL!$C$15, $D$11, 100%, $F$11)</f>
        <v>7.3266</v>
      </c>
      <c r="C308" s="8">
        <f>7.337 * CHOOSE(CONTROL!$C$15, $D$11, 100%, $F$11)</f>
        <v>7.3369999999999997</v>
      </c>
      <c r="D308" s="8">
        <f>7.341 * CHOOSE( CONTROL!$C$15, $D$11, 100%, $F$11)</f>
        <v>7.3410000000000002</v>
      </c>
      <c r="E308" s="12">
        <f>7.3385 * CHOOSE( CONTROL!$C$15, $D$11, 100%, $F$11)</f>
        <v>7.3384999999999998</v>
      </c>
      <c r="F308" s="4">
        <f>8.3338 * CHOOSE(CONTROL!$C$15, $D$11, 100%, $F$11)</f>
        <v>8.3338000000000001</v>
      </c>
      <c r="G308" s="8">
        <f>7.1377 * CHOOSE( CONTROL!$C$15, $D$11, 100%, $F$11)</f>
        <v>7.1376999999999997</v>
      </c>
      <c r="H308" s="4">
        <f>8.0473 * CHOOSE(CONTROL!$C$15, $D$11, 100%, $F$11)</f>
        <v>8.0472999999999999</v>
      </c>
      <c r="I308" s="8">
        <f>7.0673 * CHOOSE(CONTROL!$C$15, $D$11, 100%, $F$11)</f>
        <v>7.0673000000000004</v>
      </c>
      <c r="J308" s="4">
        <f>7.0156 * CHOOSE(CONTROL!$C$15, $D$11, 100%, $F$11)</f>
        <v>7.0156000000000001</v>
      </c>
      <c r="K308" s="4"/>
      <c r="L308" s="9">
        <v>27.988800000000001</v>
      </c>
      <c r="M308" s="9">
        <v>11.6745</v>
      </c>
      <c r="N308" s="9">
        <v>4.7850000000000001</v>
      </c>
      <c r="O308" s="9">
        <v>0.36249999999999999</v>
      </c>
      <c r="P308" s="9">
        <v>1.1798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CONTROL!$C$32, 7.5269, 7.5217) * CHOOSE(CONTROL!$C$15, $D$11, 100%, $F$11)</f>
        <v>7.5269000000000004</v>
      </c>
      <c r="C309" s="8">
        <f>CHOOSE( CONTROL!$C$32, 7.5374, 7.5321) * CHOOSE(CONTROL!$C$15, $D$11, 100%, $F$11)</f>
        <v>7.5373999999999999</v>
      </c>
      <c r="D309" s="8">
        <f>CHOOSE( CONTROL!$C$32, 7.5502, 7.545) * CHOOSE( CONTROL!$C$15, $D$11, 100%, $F$11)</f>
        <v>7.5502000000000002</v>
      </c>
      <c r="E309" s="12">
        <f>CHOOSE( CONTROL!$C$32, 7.544, 7.5387) * CHOOSE( CONTROL!$C$15, $D$11, 100%, $F$11)</f>
        <v>7.5439999999999996</v>
      </c>
      <c r="F309" s="4">
        <f>CHOOSE( CONTROL!$C$32, 8.5498, 8.5446) * CHOOSE(CONTROL!$C$15, $D$11, 100%, $F$11)</f>
        <v>8.5497999999999994</v>
      </c>
      <c r="G309" s="8">
        <f>CHOOSE( CONTROL!$C$32, 7.3386, 7.3335) * CHOOSE( CONTROL!$C$15, $D$11, 100%, $F$11)</f>
        <v>7.3385999999999996</v>
      </c>
      <c r="H309" s="4">
        <f>CHOOSE( CONTROL!$C$32, 8.2579, 8.2528) * CHOOSE(CONTROL!$C$15, $D$11, 100%, $F$11)</f>
        <v>8.2578999999999994</v>
      </c>
      <c r="I309" s="8">
        <f>CHOOSE( CONTROL!$C$32, 7.2647, 7.2597) * CHOOSE(CONTROL!$C$15, $D$11, 100%, $F$11)</f>
        <v>7.2647000000000004</v>
      </c>
      <c r="J309" s="4">
        <f>CHOOSE( CONTROL!$C$32, 7.2076, 7.2025) * CHOOSE(CONTROL!$C$15, $D$11, 100%, $F$11)</f>
        <v>7.2076000000000002</v>
      </c>
      <c r="K309" s="4"/>
      <c r="L309" s="9">
        <v>29.520499999999998</v>
      </c>
      <c r="M309" s="9">
        <v>12.063700000000001</v>
      </c>
      <c r="N309" s="9">
        <v>4.9444999999999997</v>
      </c>
      <c r="O309" s="9">
        <v>0.37459999999999999</v>
      </c>
      <c r="P309" s="9">
        <v>1.2192000000000001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CONTROL!$C$32, 7.4061, 7.4008) * CHOOSE(CONTROL!$C$15, $D$11, 100%, $F$11)</f>
        <v>7.4061000000000003</v>
      </c>
      <c r="C310" s="8">
        <f>CHOOSE( CONTROL!$C$32, 7.4165, 7.4113) * CHOOSE(CONTROL!$C$15, $D$11, 100%, $F$11)</f>
        <v>7.4165000000000001</v>
      </c>
      <c r="D310" s="8">
        <f>CHOOSE( CONTROL!$C$32, 7.437, 7.4317) * CHOOSE( CONTROL!$C$15, $D$11, 100%, $F$11)</f>
        <v>7.4370000000000003</v>
      </c>
      <c r="E310" s="12">
        <f>CHOOSE( CONTROL!$C$32, 7.428, 7.4227) * CHOOSE( CONTROL!$C$15, $D$11, 100%, $F$11)</f>
        <v>7.4279999999999999</v>
      </c>
      <c r="F310" s="4">
        <f>CHOOSE( CONTROL!$C$32, 8.4415, 8.4363) * CHOOSE(CONTROL!$C$15, $D$11, 100%, $F$11)</f>
        <v>8.4414999999999996</v>
      </c>
      <c r="G310" s="8">
        <f>CHOOSE( CONTROL!$C$32, 7.2247, 7.2196) * CHOOSE( CONTROL!$C$15, $D$11, 100%, $F$11)</f>
        <v>7.2247000000000003</v>
      </c>
      <c r="H310" s="4">
        <f>CHOOSE( CONTROL!$C$32, 8.1523, 8.1472) * CHOOSE(CONTROL!$C$15, $D$11, 100%, $F$11)</f>
        <v>8.1523000000000003</v>
      </c>
      <c r="I310" s="8">
        <f>CHOOSE( CONTROL!$C$32, 7.1541, 7.149) * CHOOSE(CONTROL!$C$15, $D$11, 100%, $F$11)</f>
        <v>7.1540999999999997</v>
      </c>
      <c r="J310" s="4">
        <f>CHOOSE( CONTROL!$C$32, 7.0918, 7.0867) * CHOOSE(CONTROL!$C$15, $D$11, 100%, $F$11)</f>
        <v>7.0918000000000001</v>
      </c>
      <c r="K310" s="4"/>
      <c r="L310" s="9">
        <v>28.568200000000001</v>
      </c>
      <c r="M310" s="9">
        <v>11.6745</v>
      </c>
      <c r="N310" s="9">
        <v>4.7850000000000001</v>
      </c>
      <c r="O310" s="9">
        <v>0.36249999999999999</v>
      </c>
      <c r="P310" s="9">
        <v>1.1798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CONTROL!$C$32, 7.7243, 7.7191) * CHOOSE(CONTROL!$C$15, $D$11, 100%, $F$11)</f>
        <v>7.7243000000000004</v>
      </c>
      <c r="C311" s="8">
        <f>CHOOSE( CONTROL!$C$32, 7.7348, 7.7295) * CHOOSE(CONTROL!$C$15, $D$11, 100%, $F$11)</f>
        <v>7.7347999999999999</v>
      </c>
      <c r="D311" s="8">
        <f>CHOOSE( CONTROL!$C$32, 7.7454, 7.7401) * CHOOSE( CONTROL!$C$15, $D$11, 100%, $F$11)</f>
        <v>7.7454000000000001</v>
      </c>
      <c r="E311" s="12">
        <f>CHOOSE( CONTROL!$C$32, 7.74, 7.7347) * CHOOSE( CONTROL!$C$15, $D$11, 100%, $F$11)</f>
        <v>7.74</v>
      </c>
      <c r="F311" s="4">
        <f>CHOOSE( CONTROL!$C$32, 8.7598, 8.7545) * CHOOSE(CONTROL!$C$15, $D$11, 100%, $F$11)</f>
        <v>8.7598000000000003</v>
      </c>
      <c r="G311" s="8">
        <f>CHOOSE( CONTROL!$C$32, 7.5217, 7.5165) * CHOOSE( CONTROL!$C$15, $D$11, 100%, $F$11)</f>
        <v>7.5217000000000001</v>
      </c>
      <c r="H311" s="4">
        <f>CHOOSE( CONTROL!$C$32, 8.4625, 8.4574) * CHOOSE(CONTROL!$C$15, $D$11, 100%, $F$11)</f>
        <v>8.4625000000000004</v>
      </c>
      <c r="I311" s="8">
        <f>CHOOSE( CONTROL!$C$32, 7.4625, 7.4575) * CHOOSE(CONTROL!$C$15, $D$11, 100%, $F$11)</f>
        <v>7.4625000000000004</v>
      </c>
      <c r="J311" s="4">
        <f>CHOOSE( CONTROL!$C$32, 7.3967, 7.3917) * CHOOSE(CONTROL!$C$15, $D$11, 100%, $F$11)</f>
        <v>7.3967000000000001</v>
      </c>
      <c r="K311" s="4"/>
      <c r="L311" s="9">
        <v>29.520499999999998</v>
      </c>
      <c r="M311" s="9">
        <v>12.063700000000001</v>
      </c>
      <c r="N311" s="9">
        <v>4.9444999999999997</v>
      </c>
      <c r="O311" s="9">
        <v>0.37459999999999999</v>
      </c>
      <c r="P311" s="9">
        <v>1.2192000000000001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CONTROL!$C$32, 7.1289, 7.1236) * CHOOSE(CONTROL!$C$15, $D$11, 100%, $F$11)</f>
        <v>7.1288999999999998</v>
      </c>
      <c r="C312" s="8">
        <f>CHOOSE( CONTROL!$C$32, 7.1393, 7.134) * CHOOSE(CONTROL!$C$15, $D$11, 100%, $F$11)</f>
        <v>7.1393000000000004</v>
      </c>
      <c r="D312" s="8">
        <f>CHOOSE( CONTROL!$C$32, 7.1502, 7.145) * CHOOSE( CONTROL!$C$15, $D$11, 100%, $F$11)</f>
        <v>7.1501999999999999</v>
      </c>
      <c r="E312" s="12">
        <f>CHOOSE( CONTROL!$C$32, 7.1447, 7.1394) * CHOOSE( CONTROL!$C$15, $D$11, 100%, $F$11)</f>
        <v>7.1447000000000003</v>
      </c>
      <c r="F312" s="4">
        <f>CHOOSE( CONTROL!$C$32, 8.1643, 8.159) * CHOOSE(CONTROL!$C$15, $D$11, 100%, $F$11)</f>
        <v>8.1643000000000008</v>
      </c>
      <c r="G312" s="8">
        <f>CHOOSE( CONTROL!$C$32, 6.9417, 6.9366) * CHOOSE( CONTROL!$C$15, $D$11, 100%, $F$11)</f>
        <v>6.9417</v>
      </c>
      <c r="H312" s="4">
        <f>CHOOSE( CONTROL!$C$32, 7.8821, 7.8769) * CHOOSE(CONTROL!$C$15, $D$11, 100%, $F$11)</f>
        <v>7.8821000000000003</v>
      </c>
      <c r="I312" s="8">
        <f>CHOOSE( CONTROL!$C$32, 6.8933, 6.8883) * CHOOSE(CONTROL!$C$15, $D$11, 100%, $F$11)</f>
        <v>6.8933</v>
      </c>
      <c r="J312" s="4">
        <f>CHOOSE( CONTROL!$C$32, 6.8261, 6.8211) * CHOOSE(CONTROL!$C$15, $D$11, 100%, $F$11)</f>
        <v>6.8261000000000003</v>
      </c>
      <c r="K312" s="4"/>
      <c r="L312" s="9">
        <v>29.520499999999998</v>
      </c>
      <c r="M312" s="9">
        <v>12.063700000000001</v>
      </c>
      <c r="N312" s="9">
        <v>4.9444999999999997</v>
      </c>
      <c r="O312" s="9">
        <v>0.37459999999999999</v>
      </c>
      <c r="P312" s="9">
        <v>1.2192000000000001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CONTROL!$C$32, 6.9797, 6.9745) * CHOOSE(CONTROL!$C$15, $D$11, 100%, $F$11)</f>
        <v>6.9797000000000002</v>
      </c>
      <c r="C313" s="8">
        <f>CHOOSE( CONTROL!$C$32, 6.9902, 6.9849) * CHOOSE(CONTROL!$C$15, $D$11, 100%, $F$11)</f>
        <v>6.9901999999999997</v>
      </c>
      <c r="D313" s="8">
        <f>CHOOSE( CONTROL!$C$32, 7.0013, 6.996) * CHOOSE( CONTROL!$C$15, $D$11, 100%, $F$11)</f>
        <v>7.0012999999999996</v>
      </c>
      <c r="E313" s="12">
        <f>CHOOSE( CONTROL!$C$32, 6.9957, 6.9904) * CHOOSE( CONTROL!$C$15, $D$11, 100%, $F$11)</f>
        <v>6.9957000000000003</v>
      </c>
      <c r="F313" s="4">
        <f>CHOOSE( CONTROL!$C$32, 8.0152, 8.0099) * CHOOSE(CONTROL!$C$15, $D$11, 100%, $F$11)</f>
        <v>8.0152000000000001</v>
      </c>
      <c r="G313" s="8">
        <f>CHOOSE( CONTROL!$C$32, 6.7966, 6.7914) * CHOOSE( CONTROL!$C$15, $D$11, 100%, $F$11)</f>
        <v>6.7965999999999998</v>
      </c>
      <c r="H313" s="4">
        <f>CHOOSE( CONTROL!$C$32, 7.7367, 7.7316) * CHOOSE(CONTROL!$C$15, $D$11, 100%, $F$11)</f>
        <v>7.7366999999999999</v>
      </c>
      <c r="I313" s="8">
        <f>CHOOSE( CONTROL!$C$32, 6.751, 6.746) * CHOOSE(CONTROL!$C$15, $D$11, 100%, $F$11)</f>
        <v>6.7510000000000003</v>
      </c>
      <c r="J313" s="4">
        <f>CHOOSE( CONTROL!$C$32, 6.6832, 6.6782) * CHOOSE(CONTROL!$C$15, $D$11, 100%, $F$11)</f>
        <v>6.6832000000000003</v>
      </c>
      <c r="K313" s="4"/>
      <c r="L313" s="9">
        <v>28.568200000000001</v>
      </c>
      <c r="M313" s="9">
        <v>11.6745</v>
      </c>
      <c r="N313" s="9">
        <v>4.7850000000000001</v>
      </c>
      <c r="O313" s="9">
        <v>0.36249999999999999</v>
      </c>
      <c r="P313" s="9">
        <v>1.1798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7.2841 * CHOOSE(CONTROL!$C$15, $D$11, 100%, $F$11)</f>
        <v>7.2840999999999996</v>
      </c>
      <c r="C314" s="8">
        <f>7.2945 * CHOOSE(CONTROL!$C$15, $D$11, 100%, $F$11)</f>
        <v>7.2945000000000002</v>
      </c>
      <c r="D314" s="8">
        <f>7.3069 * CHOOSE( CONTROL!$C$15, $D$11, 100%, $F$11)</f>
        <v>7.3068999999999997</v>
      </c>
      <c r="E314" s="12">
        <f>7.3017 * CHOOSE( CONTROL!$C$15, $D$11, 100%, $F$11)</f>
        <v>7.3017000000000003</v>
      </c>
      <c r="F314" s="4">
        <f>8.3195 * CHOOSE(CONTROL!$C$15, $D$11, 100%, $F$11)</f>
        <v>8.3194999999999997</v>
      </c>
      <c r="G314" s="8">
        <f>7.0926 * CHOOSE( CONTROL!$C$15, $D$11, 100%, $F$11)</f>
        <v>7.0926</v>
      </c>
      <c r="H314" s="4">
        <f>8.0334 * CHOOSE(CONTROL!$C$15, $D$11, 100%, $F$11)</f>
        <v>8.0334000000000003</v>
      </c>
      <c r="I314" s="8">
        <f>7.0442 * CHOOSE(CONTROL!$C$15, $D$11, 100%, $F$11)</f>
        <v>7.0442</v>
      </c>
      <c r="J314" s="4">
        <f>6.9749 * CHOOSE(CONTROL!$C$15, $D$11, 100%, $F$11)</f>
        <v>6.9748999999999999</v>
      </c>
      <c r="K314" s="4"/>
      <c r="L314" s="9">
        <v>28.921800000000001</v>
      </c>
      <c r="M314" s="9">
        <v>12.063700000000001</v>
      </c>
      <c r="N314" s="9">
        <v>4.9444999999999997</v>
      </c>
      <c r="O314" s="9">
        <v>0.37459999999999999</v>
      </c>
      <c r="P314" s="9">
        <v>1.2192000000000001</v>
      </c>
      <c r="Q314" s="9">
        <v>30.3217</v>
      </c>
      <c r="R314" s="9"/>
      <c r="S314" s="11"/>
    </row>
    <row r="315" spans="1:19" ht="15.75">
      <c r="A315" s="13">
        <v>51470</v>
      </c>
      <c r="B315" s="8">
        <f>7.8556 * CHOOSE(CONTROL!$C$15, $D$11, 100%, $F$11)</f>
        <v>7.8555999999999999</v>
      </c>
      <c r="C315" s="8">
        <f>7.866 * CHOOSE(CONTROL!$C$15, $D$11, 100%, $F$11)</f>
        <v>7.8659999999999997</v>
      </c>
      <c r="D315" s="8">
        <f>7.8498 * CHOOSE( CONTROL!$C$15, $D$11, 100%, $F$11)</f>
        <v>7.8498000000000001</v>
      </c>
      <c r="E315" s="12">
        <f>7.8546 * CHOOSE( CONTROL!$C$15, $D$11, 100%, $F$11)</f>
        <v>7.8545999999999996</v>
      </c>
      <c r="F315" s="4">
        <f>8.8498 * CHOOSE(CONTROL!$C$15, $D$11, 100%, $F$11)</f>
        <v>8.8498000000000001</v>
      </c>
      <c r="G315" s="8">
        <f>7.6706 * CHOOSE( CONTROL!$C$15, $D$11, 100%, $F$11)</f>
        <v>7.6706000000000003</v>
      </c>
      <c r="H315" s="4">
        <f>8.5503 * CHOOSE(CONTROL!$C$15, $D$11, 100%, $F$11)</f>
        <v>8.5503</v>
      </c>
      <c r="I315" s="8">
        <f>7.6289 * CHOOSE(CONTROL!$C$15, $D$11, 100%, $F$11)</f>
        <v>7.6288999999999998</v>
      </c>
      <c r="J315" s="4">
        <f>7.5225 * CHOOSE(CONTROL!$C$15, $D$11, 100%, $F$11)</f>
        <v>7.5225</v>
      </c>
      <c r="K315" s="4"/>
      <c r="L315" s="9">
        <v>26.515499999999999</v>
      </c>
      <c r="M315" s="9">
        <v>11.6745</v>
      </c>
      <c r="N315" s="9">
        <v>4.7850000000000001</v>
      </c>
      <c r="O315" s="9">
        <v>0.36249999999999999</v>
      </c>
      <c r="P315" s="9">
        <v>1.2522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7.8413 * CHOOSE(CONTROL!$C$15, $D$11, 100%, $F$11)</f>
        <v>7.8413000000000004</v>
      </c>
      <c r="C316" s="8">
        <f>7.8517 * CHOOSE(CONTROL!$C$15, $D$11, 100%, $F$11)</f>
        <v>7.8517000000000001</v>
      </c>
      <c r="D316" s="8">
        <f>7.8378 * CHOOSE( CONTROL!$C$15, $D$11, 100%, $F$11)</f>
        <v>7.8377999999999997</v>
      </c>
      <c r="E316" s="12">
        <f>7.8418 * CHOOSE( CONTROL!$C$15, $D$11, 100%, $F$11)</f>
        <v>7.8418000000000001</v>
      </c>
      <c r="F316" s="4">
        <f>8.8355 * CHOOSE(CONTROL!$C$15, $D$11, 100%, $F$11)</f>
        <v>8.8354999999999997</v>
      </c>
      <c r="G316" s="8">
        <f>7.6585 * CHOOSE( CONTROL!$C$15, $D$11, 100%, $F$11)</f>
        <v>7.6585000000000001</v>
      </c>
      <c r="H316" s="4">
        <f>8.5364 * CHOOSE(CONTROL!$C$15, $D$11, 100%, $F$11)</f>
        <v>8.5364000000000004</v>
      </c>
      <c r="I316" s="8">
        <f>7.6228 * CHOOSE(CONTROL!$C$15, $D$11, 100%, $F$11)</f>
        <v>7.6227999999999998</v>
      </c>
      <c r="J316" s="4">
        <f>7.5088 * CHOOSE(CONTROL!$C$15, $D$11, 100%, $F$11)</f>
        <v>7.5087999999999999</v>
      </c>
      <c r="K316" s="4"/>
      <c r="L316" s="9">
        <v>27.3993</v>
      </c>
      <c r="M316" s="9">
        <v>12.063700000000001</v>
      </c>
      <c r="N316" s="9">
        <v>4.9444999999999997</v>
      </c>
      <c r="O316" s="9">
        <v>0.37459999999999999</v>
      </c>
      <c r="P316" s="9">
        <v>1.2939000000000001</v>
      </c>
      <c r="Q316" s="9">
        <v>30.3217</v>
      </c>
      <c r="R316" s="9"/>
      <c r="S316" s="11"/>
    </row>
    <row r="317" spans="1:19" ht="15.75">
      <c r="A317" s="13">
        <v>51532</v>
      </c>
      <c r="B317" s="8">
        <f>8.1408 * CHOOSE(CONTROL!$C$15, $D$11, 100%, $F$11)</f>
        <v>8.1408000000000005</v>
      </c>
      <c r="C317" s="8">
        <f>8.1512 * CHOOSE(CONTROL!$C$15, $D$11, 100%, $F$11)</f>
        <v>8.1511999999999993</v>
      </c>
      <c r="D317" s="8">
        <f>8.1506 * CHOOSE( CONTROL!$C$15, $D$11, 100%, $F$11)</f>
        <v>8.1506000000000007</v>
      </c>
      <c r="E317" s="12">
        <f>8.1497 * CHOOSE( CONTROL!$C$15, $D$11, 100%, $F$11)</f>
        <v>8.1496999999999993</v>
      </c>
      <c r="F317" s="4">
        <f>9.1637 * CHOOSE(CONTROL!$C$15, $D$11, 100%, $F$11)</f>
        <v>9.1637000000000004</v>
      </c>
      <c r="G317" s="8">
        <f>7.964 * CHOOSE( CONTROL!$C$15, $D$11, 100%, $F$11)</f>
        <v>7.9640000000000004</v>
      </c>
      <c r="H317" s="4">
        <f>8.8563 * CHOOSE(CONTROL!$C$15, $D$11, 100%, $F$11)</f>
        <v>8.8562999999999992</v>
      </c>
      <c r="I317" s="8">
        <f>7.9082 * CHOOSE(CONTROL!$C$15, $D$11, 100%, $F$11)</f>
        <v>7.9081999999999999</v>
      </c>
      <c r="J317" s="4">
        <f>7.7958 * CHOOSE(CONTROL!$C$15, $D$11, 100%, $F$11)</f>
        <v>7.7957999999999998</v>
      </c>
      <c r="K317" s="4"/>
      <c r="L317" s="9">
        <v>27.3993</v>
      </c>
      <c r="M317" s="9">
        <v>12.063700000000001</v>
      </c>
      <c r="N317" s="9">
        <v>4.9444999999999997</v>
      </c>
      <c r="O317" s="9">
        <v>0.37459999999999999</v>
      </c>
      <c r="P317" s="9">
        <v>1.2939000000000001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7.6148 * CHOOSE(CONTROL!$C$15, $D$11, 100%, $F$11)</f>
        <v>7.6147999999999998</v>
      </c>
      <c r="C318" s="8">
        <f>7.6253 * CHOOSE(CONTROL!$C$15, $D$11, 100%, $F$11)</f>
        <v>7.6253000000000002</v>
      </c>
      <c r="D318" s="8">
        <f>7.6268 * CHOOSE( CONTROL!$C$15, $D$11, 100%, $F$11)</f>
        <v>7.6268000000000002</v>
      </c>
      <c r="E318" s="12">
        <f>7.6251 * CHOOSE( CONTROL!$C$15, $D$11, 100%, $F$11)</f>
        <v>7.6250999999999998</v>
      </c>
      <c r="F318" s="4">
        <f>8.6299 * CHOOSE(CONTROL!$C$15, $D$11, 100%, $F$11)</f>
        <v>8.6298999999999992</v>
      </c>
      <c r="G318" s="8">
        <f>7.451 * CHOOSE( CONTROL!$C$15, $D$11, 100%, $F$11)</f>
        <v>7.4509999999999996</v>
      </c>
      <c r="H318" s="4">
        <f>8.3359 * CHOOSE(CONTROL!$C$15, $D$11, 100%, $F$11)</f>
        <v>8.3359000000000005</v>
      </c>
      <c r="I318" s="8">
        <f>7.3931 * CHOOSE(CONTROL!$C$15, $D$11, 100%, $F$11)</f>
        <v>7.3930999999999996</v>
      </c>
      <c r="J318" s="4">
        <f>7.2918 * CHOOSE(CONTROL!$C$15, $D$11, 100%, $F$11)</f>
        <v>7.2918000000000003</v>
      </c>
      <c r="K318" s="4"/>
      <c r="L318" s="9">
        <v>24.747800000000002</v>
      </c>
      <c r="M318" s="9">
        <v>10.8962</v>
      </c>
      <c r="N318" s="9">
        <v>4.4660000000000002</v>
      </c>
      <c r="O318" s="9">
        <v>0.33829999999999999</v>
      </c>
      <c r="P318" s="9">
        <v>1.1687000000000001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7.4528 * CHOOSE(CONTROL!$C$15, $D$11, 100%, $F$11)</f>
        <v>7.4527999999999999</v>
      </c>
      <c r="C319" s="8">
        <f>7.4633 * CHOOSE(CONTROL!$C$15, $D$11, 100%, $F$11)</f>
        <v>7.4633000000000003</v>
      </c>
      <c r="D319" s="8">
        <f>7.4443 * CHOOSE( CONTROL!$C$15, $D$11, 100%, $F$11)</f>
        <v>7.4443000000000001</v>
      </c>
      <c r="E319" s="12">
        <f>7.4501 * CHOOSE( CONTROL!$C$15, $D$11, 100%, $F$11)</f>
        <v>7.4500999999999999</v>
      </c>
      <c r="F319" s="4">
        <f>8.4517 * CHOOSE(CONTROL!$C$15, $D$11, 100%, $F$11)</f>
        <v>8.4517000000000007</v>
      </c>
      <c r="G319" s="8">
        <f>7.2724 * CHOOSE( CONTROL!$C$15, $D$11, 100%, $F$11)</f>
        <v>7.2724000000000002</v>
      </c>
      <c r="H319" s="4">
        <f>8.1623 * CHOOSE(CONTROL!$C$15, $D$11, 100%, $F$11)</f>
        <v>8.1623000000000001</v>
      </c>
      <c r="I319" s="8">
        <f>7.1983 * CHOOSE(CONTROL!$C$15, $D$11, 100%, $F$11)</f>
        <v>7.1982999999999997</v>
      </c>
      <c r="J319" s="4">
        <f>7.1366 * CHOOSE(CONTROL!$C$15, $D$11, 100%, $F$11)</f>
        <v>7.1365999999999996</v>
      </c>
      <c r="K319" s="4"/>
      <c r="L319" s="9">
        <v>27.3993</v>
      </c>
      <c r="M319" s="9">
        <v>12.063700000000001</v>
      </c>
      <c r="N319" s="9">
        <v>4.9444999999999997</v>
      </c>
      <c r="O319" s="9">
        <v>0.37459999999999999</v>
      </c>
      <c r="P319" s="9">
        <v>1.2939000000000001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7.566 * CHOOSE(CONTROL!$C$15, $D$11, 100%, $F$11)</f>
        <v>7.5659999999999998</v>
      </c>
      <c r="C320" s="8">
        <f>7.5765 * CHOOSE(CONTROL!$C$15, $D$11, 100%, $F$11)</f>
        <v>7.5765000000000002</v>
      </c>
      <c r="D320" s="8">
        <f>7.5805 * CHOOSE( CONTROL!$C$15, $D$11, 100%, $F$11)</f>
        <v>7.5804999999999998</v>
      </c>
      <c r="E320" s="12">
        <f>7.578 * CHOOSE( CONTROL!$C$15, $D$11, 100%, $F$11)</f>
        <v>7.5780000000000003</v>
      </c>
      <c r="F320" s="4">
        <f>8.5733 * CHOOSE(CONTROL!$C$15, $D$11, 100%, $F$11)</f>
        <v>8.5732999999999997</v>
      </c>
      <c r="G320" s="8">
        <f>7.3711 * CHOOSE( CONTROL!$C$15, $D$11, 100%, $F$11)</f>
        <v>7.3711000000000002</v>
      </c>
      <c r="H320" s="4">
        <f>8.2808 * CHOOSE(CONTROL!$C$15, $D$11, 100%, $F$11)</f>
        <v>8.2807999999999993</v>
      </c>
      <c r="I320" s="8">
        <f>7.2969 * CHOOSE(CONTROL!$C$15, $D$11, 100%, $F$11)</f>
        <v>7.2968999999999999</v>
      </c>
      <c r="J320" s="4">
        <f>7.245 * CHOOSE(CONTROL!$C$15, $D$11, 100%, $F$11)</f>
        <v>7.2450000000000001</v>
      </c>
      <c r="K320" s="4"/>
      <c r="L320" s="9">
        <v>27.988800000000001</v>
      </c>
      <c r="M320" s="9">
        <v>11.6745</v>
      </c>
      <c r="N320" s="9">
        <v>4.7850000000000001</v>
      </c>
      <c r="O320" s="9">
        <v>0.36249999999999999</v>
      </c>
      <c r="P320" s="9">
        <v>1.1798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CONTROL!$C$32, 7.7728, 7.7675) * CHOOSE(CONTROL!$C$15, $D$11, 100%, $F$11)</f>
        <v>7.7728000000000002</v>
      </c>
      <c r="C321" s="8">
        <f>CHOOSE( CONTROL!$C$32, 7.7832, 7.7779) * CHOOSE(CONTROL!$C$15, $D$11, 100%, $F$11)</f>
        <v>7.7831999999999999</v>
      </c>
      <c r="D321" s="8">
        <f>CHOOSE( CONTROL!$C$32, 7.796, 7.7908) * CHOOSE( CONTROL!$C$15, $D$11, 100%, $F$11)</f>
        <v>7.7960000000000003</v>
      </c>
      <c r="E321" s="12">
        <f>CHOOSE( CONTROL!$C$32, 7.7898, 7.7845) * CHOOSE( CONTROL!$C$15, $D$11, 100%, $F$11)</f>
        <v>7.7897999999999996</v>
      </c>
      <c r="F321" s="4">
        <f>CHOOSE( CONTROL!$C$32, 8.7957, 8.7904) * CHOOSE(CONTROL!$C$15, $D$11, 100%, $F$11)</f>
        <v>8.7957000000000001</v>
      </c>
      <c r="G321" s="8">
        <f>CHOOSE( CONTROL!$C$32, 7.5783, 7.5731) * CHOOSE( CONTROL!$C$15, $D$11, 100%, $F$11)</f>
        <v>7.5782999999999996</v>
      </c>
      <c r="H321" s="4">
        <f>CHOOSE( CONTROL!$C$32, 8.4975, 8.4924) * CHOOSE(CONTROL!$C$15, $D$11, 100%, $F$11)</f>
        <v>8.4975000000000005</v>
      </c>
      <c r="I321" s="8">
        <f>CHOOSE( CONTROL!$C$32, 7.5004, 7.4953) * CHOOSE(CONTROL!$C$15, $D$11, 100%, $F$11)</f>
        <v>7.5004</v>
      </c>
      <c r="J321" s="4">
        <f>CHOOSE( CONTROL!$C$32, 7.4431, 7.4381) * CHOOSE(CONTROL!$C$15, $D$11, 100%, $F$11)</f>
        <v>7.4431000000000003</v>
      </c>
      <c r="K321" s="4"/>
      <c r="L321" s="9">
        <v>29.520499999999998</v>
      </c>
      <c r="M321" s="9">
        <v>12.063700000000001</v>
      </c>
      <c r="N321" s="9">
        <v>4.9444999999999997</v>
      </c>
      <c r="O321" s="9">
        <v>0.37459999999999999</v>
      </c>
      <c r="P321" s="9">
        <v>1.2192000000000001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CONTROL!$C$32, 7.648, 7.6427) * CHOOSE(CONTROL!$C$15, $D$11, 100%, $F$11)</f>
        <v>7.6479999999999997</v>
      </c>
      <c r="C322" s="8">
        <f>CHOOSE( CONTROL!$C$32, 7.6584, 7.6531) * CHOOSE(CONTROL!$C$15, $D$11, 100%, $F$11)</f>
        <v>7.6584000000000003</v>
      </c>
      <c r="D322" s="8">
        <f>CHOOSE( CONTROL!$C$32, 7.6788, 7.6736) * CHOOSE( CONTROL!$C$15, $D$11, 100%, $F$11)</f>
        <v>7.6787999999999998</v>
      </c>
      <c r="E322" s="12">
        <f>CHOOSE( CONTROL!$C$32, 7.6698, 7.6646) * CHOOSE( CONTROL!$C$15, $D$11, 100%, $F$11)</f>
        <v>7.6698000000000004</v>
      </c>
      <c r="F322" s="4">
        <f>CHOOSE( CONTROL!$C$32, 8.6834, 8.6781) * CHOOSE(CONTROL!$C$15, $D$11, 100%, $F$11)</f>
        <v>8.6834000000000007</v>
      </c>
      <c r="G322" s="8">
        <f>CHOOSE( CONTROL!$C$32, 7.4605, 7.4553) * CHOOSE( CONTROL!$C$15, $D$11, 100%, $F$11)</f>
        <v>7.4604999999999997</v>
      </c>
      <c r="H322" s="4">
        <f>CHOOSE( CONTROL!$C$32, 8.3881, 8.3829) * CHOOSE(CONTROL!$C$15, $D$11, 100%, $F$11)</f>
        <v>8.3880999999999997</v>
      </c>
      <c r="I322" s="8">
        <f>CHOOSE( CONTROL!$C$32, 7.3859, 7.3809) * CHOOSE(CONTROL!$C$15, $D$11, 100%, $F$11)</f>
        <v>7.3859000000000004</v>
      </c>
      <c r="J322" s="4">
        <f>CHOOSE( CONTROL!$C$32, 7.3235, 7.3185) * CHOOSE(CONTROL!$C$15, $D$11, 100%, $F$11)</f>
        <v>7.3235000000000001</v>
      </c>
      <c r="K322" s="4"/>
      <c r="L322" s="9">
        <v>28.568200000000001</v>
      </c>
      <c r="M322" s="9">
        <v>11.6745</v>
      </c>
      <c r="N322" s="9">
        <v>4.7850000000000001</v>
      </c>
      <c r="O322" s="9">
        <v>0.36249999999999999</v>
      </c>
      <c r="P322" s="9">
        <v>1.1798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CONTROL!$C$32, 7.9766, 7.9714) * CHOOSE(CONTROL!$C$15, $D$11, 100%, $F$11)</f>
        <v>7.9766000000000004</v>
      </c>
      <c r="C323" s="8">
        <f>CHOOSE( CONTROL!$C$32, 7.987, 7.9818) * CHOOSE(CONTROL!$C$15, $D$11, 100%, $F$11)</f>
        <v>7.9870000000000001</v>
      </c>
      <c r="D323" s="8">
        <f>CHOOSE( CONTROL!$C$32, 7.9977, 7.9924) * CHOOSE( CONTROL!$C$15, $D$11, 100%, $F$11)</f>
        <v>7.9977</v>
      </c>
      <c r="E323" s="12">
        <f>CHOOSE( CONTROL!$C$32, 7.9922, 7.987) * CHOOSE( CONTROL!$C$15, $D$11, 100%, $F$11)</f>
        <v>7.9922000000000004</v>
      </c>
      <c r="F323" s="4">
        <f>CHOOSE( CONTROL!$C$32, 9.012, 9.0068) * CHOOSE(CONTROL!$C$15, $D$11, 100%, $F$11)</f>
        <v>9.0120000000000005</v>
      </c>
      <c r="G323" s="8">
        <f>CHOOSE( CONTROL!$C$32, 7.7676, 7.7625) * CHOOSE( CONTROL!$C$15, $D$11, 100%, $F$11)</f>
        <v>7.7675999999999998</v>
      </c>
      <c r="H323" s="4">
        <f>CHOOSE( CONTROL!$C$32, 8.7084, 8.7033) * CHOOSE(CONTROL!$C$15, $D$11, 100%, $F$11)</f>
        <v>8.7083999999999993</v>
      </c>
      <c r="I323" s="8">
        <f>CHOOSE( CONTROL!$C$32, 7.7044, 7.6994) * CHOOSE(CONTROL!$C$15, $D$11, 100%, $F$11)</f>
        <v>7.7043999999999997</v>
      </c>
      <c r="J323" s="4">
        <f>CHOOSE( CONTROL!$C$32, 7.6384, 7.6334) * CHOOSE(CONTROL!$C$15, $D$11, 100%, $F$11)</f>
        <v>7.6383999999999999</v>
      </c>
      <c r="K323" s="4"/>
      <c r="L323" s="9">
        <v>29.520499999999998</v>
      </c>
      <c r="M323" s="9">
        <v>12.063700000000001</v>
      </c>
      <c r="N323" s="9">
        <v>4.9444999999999997</v>
      </c>
      <c r="O323" s="9">
        <v>0.37459999999999999</v>
      </c>
      <c r="P323" s="9">
        <v>1.2192000000000001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CONTROL!$C$32, 7.3617, 7.3564) * CHOOSE(CONTROL!$C$15, $D$11, 100%, $F$11)</f>
        <v>7.3616999999999999</v>
      </c>
      <c r="C324" s="8">
        <f>CHOOSE( CONTROL!$C$32, 7.3721, 7.3668) * CHOOSE(CONTROL!$C$15, $D$11, 100%, $F$11)</f>
        <v>7.3720999999999997</v>
      </c>
      <c r="D324" s="8">
        <f>CHOOSE( CONTROL!$C$32, 7.383, 7.3778) * CHOOSE( CONTROL!$C$15, $D$11, 100%, $F$11)</f>
        <v>7.383</v>
      </c>
      <c r="E324" s="12">
        <f>CHOOSE( CONTROL!$C$32, 7.3775, 7.3722) * CHOOSE( CONTROL!$C$15, $D$11, 100%, $F$11)</f>
        <v>7.3775000000000004</v>
      </c>
      <c r="F324" s="4">
        <f>CHOOSE( CONTROL!$C$32, 8.3971, 8.3918) * CHOOSE(CONTROL!$C$15, $D$11, 100%, $F$11)</f>
        <v>8.3971</v>
      </c>
      <c r="G324" s="8">
        <f>CHOOSE( CONTROL!$C$32, 7.1686, 7.1635) * CHOOSE( CONTROL!$C$15, $D$11, 100%, $F$11)</f>
        <v>7.1685999999999996</v>
      </c>
      <c r="H324" s="4">
        <f>CHOOSE( CONTROL!$C$32, 8.109, 8.1039) * CHOOSE(CONTROL!$C$15, $D$11, 100%, $F$11)</f>
        <v>8.109</v>
      </c>
      <c r="I324" s="8">
        <f>CHOOSE( CONTROL!$C$32, 7.1165, 7.1114) * CHOOSE(CONTROL!$C$15, $D$11, 100%, $F$11)</f>
        <v>7.1165000000000003</v>
      </c>
      <c r="J324" s="4">
        <f>CHOOSE( CONTROL!$C$32, 7.0492, 7.0442) * CHOOSE(CONTROL!$C$15, $D$11, 100%, $F$11)</f>
        <v>7.0491999999999999</v>
      </c>
      <c r="K324" s="4"/>
      <c r="L324" s="9">
        <v>29.520499999999998</v>
      </c>
      <c r="M324" s="9">
        <v>12.063700000000001</v>
      </c>
      <c r="N324" s="9">
        <v>4.9444999999999997</v>
      </c>
      <c r="O324" s="9">
        <v>0.37459999999999999</v>
      </c>
      <c r="P324" s="9">
        <v>1.2192000000000001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CONTROL!$C$32, 7.2077, 7.2024) * CHOOSE(CONTROL!$C$15, $D$11, 100%, $F$11)</f>
        <v>7.2077</v>
      </c>
      <c r="C325" s="8">
        <f>CHOOSE( CONTROL!$C$32, 7.2181, 7.2129) * CHOOSE(CONTROL!$C$15, $D$11, 100%, $F$11)</f>
        <v>7.2180999999999997</v>
      </c>
      <c r="D325" s="8">
        <f>CHOOSE( CONTROL!$C$32, 7.2292, 7.2239) * CHOOSE( CONTROL!$C$15, $D$11, 100%, $F$11)</f>
        <v>7.2291999999999996</v>
      </c>
      <c r="E325" s="12">
        <f>CHOOSE( CONTROL!$C$32, 7.2236, 7.2183) * CHOOSE( CONTROL!$C$15, $D$11, 100%, $F$11)</f>
        <v>7.2236000000000002</v>
      </c>
      <c r="F325" s="4">
        <f>CHOOSE( CONTROL!$C$32, 8.2431, 8.2378) * CHOOSE(CONTROL!$C$15, $D$11, 100%, $F$11)</f>
        <v>8.2431000000000001</v>
      </c>
      <c r="G325" s="8">
        <f>CHOOSE( CONTROL!$C$32, 7.0187, 7.0136) * CHOOSE( CONTROL!$C$15, $D$11, 100%, $F$11)</f>
        <v>7.0186999999999999</v>
      </c>
      <c r="H325" s="4">
        <f>CHOOSE( CONTROL!$C$32, 7.9589, 7.9538) * CHOOSE(CONTROL!$C$15, $D$11, 100%, $F$11)</f>
        <v>7.9588999999999999</v>
      </c>
      <c r="I325" s="8">
        <f>CHOOSE( CONTROL!$C$32, 6.9695, 6.9645) * CHOOSE(CONTROL!$C$15, $D$11, 100%, $F$11)</f>
        <v>6.9695</v>
      </c>
      <c r="J325" s="4">
        <f>CHOOSE( CONTROL!$C$32, 6.9016, 6.8966) * CHOOSE(CONTROL!$C$15, $D$11, 100%, $F$11)</f>
        <v>6.9016000000000002</v>
      </c>
      <c r="K325" s="4"/>
      <c r="L325" s="9">
        <v>28.568200000000001</v>
      </c>
      <c r="M325" s="9">
        <v>11.6745</v>
      </c>
      <c r="N325" s="9">
        <v>4.7850000000000001</v>
      </c>
      <c r="O325" s="9">
        <v>0.36249999999999999</v>
      </c>
      <c r="P325" s="9">
        <v>1.1798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7.5222 * CHOOSE(CONTROL!$C$15, $D$11, 100%, $F$11)</f>
        <v>7.5221999999999998</v>
      </c>
      <c r="C326" s="8">
        <f>7.5326 * CHOOSE(CONTROL!$C$15, $D$11, 100%, $F$11)</f>
        <v>7.5326000000000004</v>
      </c>
      <c r="D326" s="8">
        <f>7.545 * CHOOSE( CONTROL!$C$15, $D$11, 100%, $F$11)</f>
        <v>7.5449999999999999</v>
      </c>
      <c r="E326" s="12">
        <f>7.5398 * CHOOSE( CONTROL!$C$15, $D$11, 100%, $F$11)</f>
        <v>7.5397999999999996</v>
      </c>
      <c r="F326" s="4">
        <f>8.5576 * CHOOSE(CONTROL!$C$15, $D$11, 100%, $F$11)</f>
        <v>8.5576000000000008</v>
      </c>
      <c r="G326" s="8">
        <f>7.3246 * CHOOSE( CONTROL!$C$15, $D$11, 100%, $F$11)</f>
        <v>7.3246000000000002</v>
      </c>
      <c r="H326" s="4">
        <f>8.2654 * CHOOSE(CONTROL!$C$15, $D$11, 100%, $F$11)</f>
        <v>8.2653999999999996</v>
      </c>
      <c r="I326" s="8">
        <f>7.2724 * CHOOSE(CONTROL!$C$15, $D$11, 100%, $F$11)</f>
        <v>7.2724000000000002</v>
      </c>
      <c r="J326" s="4">
        <f>7.203 * CHOOSE(CONTROL!$C$15, $D$11, 100%, $F$11)</f>
        <v>7.2030000000000003</v>
      </c>
      <c r="K326" s="4"/>
      <c r="L326" s="9">
        <v>28.921800000000001</v>
      </c>
      <c r="M326" s="9">
        <v>12.063700000000001</v>
      </c>
      <c r="N326" s="9">
        <v>4.9444999999999997</v>
      </c>
      <c r="O326" s="9">
        <v>0.37459999999999999</v>
      </c>
      <c r="P326" s="9">
        <v>1.2192000000000001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8.1123 * CHOOSE(CONTROL!$C$15, $D$11, 100%, $F$11)</f>
        <v>8.1122999999999994</v>
      </c>
      <c r="C327" s="8">
        <f>8.1228 * CHOOSE(CONTROL!$C$15, $D$11, 100%, $F$11)</f>
        <v>8.1227999999999998</v>
      </c>
      <c r="D327" s="8">
        <f>8.1065 * CHOOSE( CONTROL!$C$15, $D$11, 100%, $F$11)</f>
        <v>8.1065000000000005</v>
      </c>
      <c r="E327" s="12">
        <f>8.1113 * CHOOSE( CONTROL!$C$15, $D$11, 100%, $F$11)</f>
        <v>8.1113</v>
      </c>
      <c r="F327" s="4">
        <f>9.1065 * CHOOSE(CONTROL!$C$15, $D$11, 100%, $F$11)</f>
        <v>9.1065000000000005</v>
      </c>
      <c r="G327" s="8">
        <f>7.9209 * CHOOSE( CONTROL!$C$15, $D$11, 100%, $F$11)</f>
        <v>7.9208999999999996</v>
      </c>
      <c r="H327" s="4">
        <f>8.8005 * CHOOSE(CONTROL!$C$15, $D$11, 100%, $F$11)</f>
        <v>8.8004999999999995</v>
      </c>
      <c r="I327" s="8">
        <f>7.8751 * CHOOSE(CONTROL!$C$15, $D$11, 100%, $F$11)</f>
        <v>7.8750999999999998</v>
      </c>
      <c r="J327" s="4">
        <f>7.7685 * CHOOSE(CONTROL!$C$15, $D$11, 100%, $F$11)</f>
        <v>7.7685000000000004</v>
      </c>
      <c r="K327" s="4"/>
      <c r="L327" s="9">
        <v>26.515499999999999</v>
      </c>
      <c r="M327" s="9">
        <v>11.6745</v>
      </c>
      <c r="N327" s="9">
        <v>4.7850000000000001</v>
      </c>
      <c r="O327" s="9">
        <v>0.36249999999999999</v>
      </c>
      <c r="P327" s="9">
        <v>1.2522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8.0976 * CHOOSE(CONTROL!$C$15, $D$11, 100%, $F$11)</f>
        <v>8.0975999999999999</v>
      </c>
      <c r="C328" s="8">
        <f>8.108 * CHOOSE(CONTROL!$C$15, $D$11, 100%, $F$11)</f>
        <v>8.1080000000000005</v>
      </c>
      <c r="D328" s="8">
        <f>8.0941 * CHOOSE( CONTROL!$C$15, $D$11, 100%, $F$11)</f>
        <v>8.0940999999999992</v>
      </c>
      <c r="E328" s="12">
        <f>8.0981 * CHOOSE( CONTROL!$C$15, $D$11, 100%, $F$11)</f>
        <v>8.0981000000000005</v>
      </c>
      <c r="F328" s="4">
        <f>9.0918 * CHOOSE(CONTROL!$C$15, $D$11, 100%, $F$11)</f>
        <v>9.0917999999999992</v>
      </c>
      <c r="G328" s="8">
        <f>7.9083 * CHOOSE( CONTROL!$C$15, $D$11, 100%, $F$11)</f>
        <v>7.9082999999999997</v>
      </c>
      <c r="H328" s="4">
        <f>8.7862 * CHOOSE(CONTROL!$C$15, $D$11, 100%, $F$11)</f>
        <v>8.7861999999999991</v>
      </c>
      <c r="I328" s="8">
        <f>7.8685 * CHOOSE(CONTROL!$C$15, $D$11, 100%, $F$11)</f>
        <v>7.8685</v>
      </c>
      <c r="J328" s="4">
        <f>7.7543 * CHOOSE(CONTROL!$C$15, $D$11, 100%, $F$11)</f>
        <v>7.7542999999999997</v>
      </c>
      <c r="K328" s="4"/>
      <c r="L328" s="9">
        <v>27.3993</v>
      </c>
      <c r="M328" s="9">
        <v>12.063700000000001</v>
      </c>
      <c r="N328" s="9">
        <v>4.9444999999999997</v>
      </c>
      <c r="O328" s="9">
        <v>0.37459999999999999</v>
      </c>
      <c r="P328" s="9">
        <v>1.2939000000000001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8.4069 * CHOOSE(CONTROL!$C$15, $D$11, 100%, $F$11)</f>
        <v>8.4069000000000003</v>
      </c>
      <c r="C329" s="8">
        <f>8.4173 * CHOOSE(CONTROL!$C$15, $D$11, 100%, $F$11)</f>
        <v>8.4172999999999991</v>
      </c>
      <c r="D329" s="8">
        <f>8.4166 * CHOOSE( CONTROL!$C$15, $D$11, 100%, $F$11)</f>
        <v>8.4166000000000007</v>
      </c>
      <c r="E329" s="12">
        <f>8.4157 * CHOOSE( CONTROL!$C$15, $D$11, 100%, $F$11)</f>
        <v>8.4156999999999993</v>
      </c>
      <c r="F329" s="4">
        <f>9.4298 * CHOOSE(CONTROL!$C$15, $D$11, 100%, $F$11)</f>
        <v>9.4298000000000002</v>
      </c>
      <c r="G329" s="8">
        <f>8.2233 * CHOOSE( CONTROL!$C$15, $D$11, 100%, $F$11)</f>
        <v>8.2233000000000001</v>
      </c>
      <c r="H329" s="4">
        <f>9.1156 * CHOOSE(CONTROL!$C$15, $D$11, 100%, $F$11)</f>
        <v>9.1156000000000006</v>
      </c>
      <c r="I329" s="8">
        <f>8.1633 * CHOOSE(CONTROL!$C$15, $D$11, 100%, $F$11)</f>
        <v>8.1632999999999996</v>
      </c>
      <c r="J329" s="4">
        <f>8.0507 * CHOOSE(CONTROL!$C$15, $D$11, 100%, $F$11)</f>
        <v>8.0507000000000009</v>
      </c>
      <c r="K329" s="4"/>
      <c r="L329" s="9">
        <v>27.3993</v>
      </c>
      <c r="M329" s="9">
        <v>12.063700000000001</v>
      </c>
      <c r="N329" s="9">
        <v>4.9444999999999997</v>
      </c>
      <c r="O329" s="9">
        <v>0.37459999999999999</v>
      </c>
      <c r="P329" s="9">
        <v>1.2939000000000001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7.8637 * CHOOSE(CONTROL!$C$15, $D$11, 100%, $F$11)</f>
        <v>7.8636999999999997</v>
      </c>
      <c r="C330" s="8">
        <f>7.8741 * CHOOSE(CONTROL!$C$15, $D$11, 100%, $F$11)</f>
        <v>7.8741000000000003</v>
      </c>
      <c r="D330" s="8">
        <f>7.8756 * CHOOSE( CONTROL!$C$15, $D$11, 100%, $F$11)</f>
        <v>7.8756000000000004</v>
      </c>
      <c r="E330" s="12">
        <f>7.8739 * CHOOSE( CONTROL!$C$15, $D$11, 100%, $F$11)</f>
        <v>7.8738999999999999</v>
      </c>
      <c r="F330" s="4">
        <f>8.8788 * CHOOSE(CONTROL!$C$15, $D$11, 100%, $F$11)</f>
        <v>8.8788</v>
      </c>
      <c r="G330" s="8">
        <f>7.6936 * CHOOSE( CONTROL!$C$15, $D$11, 100%, $F$11)</f>
        <v>7.6936</v>
      </c>
      <c r="H330" s="4">
        <f>8.5785 * CHOOSE(CONTROL!$C$15, $D$11, 100%, $F$11)</f>
        <v>8.5785</v>
      </c>
      <c r="I330" s="8">
        <f>7.6317 * CHOOSE(CONTROL!$C$15, $D$11, 100%, $F$11)</f>
        <v>7.6317000000000004</v>
      </c>
      <c r="J330" s="4">
        <f>7.5302 * CHOOSE(CONTROL!$C$15, $D$11, 100%, $F$11)</f>
        <v>7.5301999999999998</v>
      </c>
      <c r="K330" s="4"/>
      <c r="L330" s="9">
        <v>24.747800000000002</v>
      </c>
      <c r="M330" s="9">
        <v>10.8962</v>
      </c>
      <c r="N330" s="9">
        <v>4.4660000000000002</v>
      </c>
      <c r="O330" s="9">
        <v>0.33829999999999999</v>
      </c>
      <c r="P330" s="9">
        <v>1.1687000000000001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7.6964 * CHOOSE(CONTROL!$C$15, $D$11, 100%, $F$11)</f>
        <v>7.6963999999999997</v>
      </c>
      <c r="C331" s="8">
        <f>7.7068 * CHOOSE(CONTROL!$C$15, $D$11, 100%, $F$11)</f>
        <v>7.7068000000000003</v>
      </c>
      <c r="D331" s="8">
        <f>7.6879 * CHOOSE( CONTROL!$C$15, $D$11, 100%, $F$11)</f>
        <v>7.6879</v>
      </c>
      <c r="E331" s="12">
        <f>7.6937 * CHOOSE( CONTROL!$C$15, $D$11, 100%, $F$11)</f>
        <v>7.6936999999999998</v>
      </c>
      <c r="F331" s="4">
        <f>8.6953 * CHOOSE(CONTROL!$C$15, $D$11, 100%, $F$11)</f>
        <v>8.6952999999999996</v>
      </c>
      <c r="G331" s="8">
        <f>7.5099 * CHOOSE( CONTROL!$C$15, $D$11, 100%, $F$11)</f>
        <v>7.5099</v>
      </c>
      <c r="H331" s="4">
        <f>8.3997 * CHOOSE(CONTROL!$C$15, $D$11, 100%, $F$11)</f>
        <v>8.3996999999999993</v>
      </c>
      <c r="I331" s="8">
        <f>7.4318 * CHOOSE(CONTROL!$C$15, $D$11, 100%, $F$11)</f>
        <v>7.4318</v>
      </c>
      <c r="J331" s="4">
        <f>7.3699 * CHOOSE(CONTROL!$C$15, $D$11, 100%, $F$11)</f>
        <v>7.3699000000000003</v>
      </c>
      <c r="K331" s="4"/>
      <c r="L331" s="9">
        <v>27.3993</v>
      </c>
      <c r="M331" s="9">
        <v>12.063700000000001</v>
      </c>
      <c r="N331" s="9">
        <v>4.9444999999999997</v>
      </c>
      <c r="O331" s="9">
        <v>0.37459999999999999</v>
      </c>
      <c r="P331" s="9">
        <v>1.2939000000000001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7.8133 * CHOOSE(CONTROL!$C$15, $D$11, 100%, $F$11)</f>
        <v>7.8132999999999999</v>
      </c>
      <c r="C332" s="8">
        <f>7.8237 * CHOOSE(CONTROL!$C$15, $D$11, 100%, $F$11)</f>
        <v>7.8236999999999997</v>
      </c>
      <c r="D332" s="8">
        <f>7.8278 * CHOOSE( CONTROL!$C$15, $D$11, 100%, $F$11)</f>
        <v>7.8277999999999999</v>
      </c>
      <c r="E332" s="12">
        <f>7.8253 * CHOOSE( CONTROL!$C$15, $D$11, 100%, $F$11)</f>
        <v>7.8253000000000004</v>
      </c>
      <c r="F332" s="4">
        <f>8.8206 * CHOOSE(CONTROL!$C$15, $D$11, 100%, $F$11)</f>
        <v>8.8206000000000007</v>
      </c>
      <c r="G332" s="8">
        <f>7.6122 * CHOOSE( CONTROL!$C$15, $D$11, 100%, $F$11)</f>
        <v>7.6121999999999996</v>
      </c>
      <c r="H332" s="4">
        <f>8.5218 * CHOOSE(CONTROL!$C$15, $D$11, 100%, $F$11)</f>
        <v>8.5218000000000007</v>
      </c>
      <c r="I332" s="8">
        <f>7.5339 * CHOOSE(CONTROL!$C$15, $D$11, 100%, $F$11)</f>
        <v>7.5339</v>
      </c>
      <c r="J332" s="4">
        <f>7.482 * CHOOSE(CONTROL!$C$15, $D$11, 100%, $F$11)</f>
        <v>7.4820000000000002</v>
      </c>
      <c r="K332" s="4"/>
      <c r="L332" s="9">
        <v>27.988800000000001</v>
      </c>
      <c r="M332" s="9">
        <v>11.6745</v>
      </c>
      <c r="N332" s="9">
        <v>4.7850000000000001</v>
      </c>
      <c r="O332" s="9">
        <v>0.36249999999999999</v>
      </c>
      <c r="P332" s="9">
        <v>1.1798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CONTROL!$C$32, 8.0266, 8.0214) * CHOOSE(CONTROL!$C$15, $D$11, 100%, $F$11)</f>
        <v>8.0266000000000002</v>
      </c>
      <c r="C333" s="8">
        <f>CHOOSE( CONTROL!$C$32, 8.0371, 8.0318) * CHOOSE(CONTROL!$C$15, $D$11, 100%, $F$11)</f>
        <v>8.0371000000000006</v>
      </c>
      <c r="D333" s="8">
        <f>CHOOSE( CONTROL!$C$32, 8.0499, 8.0446) * CHOOSE( CONTROL!$C$15, $D$11, 100%, $F$11)</f>
        <v>8.0498999999999992</v>
      </c>
      <c r="E333" s="12">
        <f>CHOOSE( CONTROL!$C$32, 8.0437, 8.0384) * CHOOSE( CONTROL!$C$15, $D$11, 100%, $F$11)</f>
        <v>8.0436999999999994</v>
      </c>
      <c r="F333" s="4">
        <f>CHOOSE( CONTROL!$C$32, 9.0495, 9.0443) * CHOOSE(CONTROL!$C$15, $D$11, 100%, $F$11)</f>
        <v>9.0495000000000001</v>
      </c>
      <c r="G333" s="8">
        <f>CHOOSE( CONTROL!$C$32, 7.8257, 7.8206) * CHOOSE( CONTROL!$C$15, $D$11, 100%, $F$11)</f>
        <v>7.8257000000000003</v>
      </c>
      <c r="H333" s="4">
        <f>CHOOSE( CONTROL!$C$32, 8.745, 8.7399) * CHOOSE(CONTROL!$C$15, $D$11, 100%, $F$11)</f>
        <v>8.7449999999999992</v>
      </c>
      <c r="I333" s="8">
        <f>CHOOSE( CONTROL!$C$32, 7.7437, 7.7387) * CHOOSE(CONTROL!$C$15, $D$11, 100%, $F$11)</f>
        <v>7.7436999999999996</v>
      </c>
      <c r="J333" s="4">
        <f>CHOOSE( CONTROL!$C$32, 7.6864, 7.6813) * CHOOSE(CONTROL!$C$15, $D$11, 100%, $F$11)</f>
        <v>7.6863999999999999</v>
      </c>
      <c r="K333" s="4"/>
      <c r="L333" s="9">
        <v>29.520499999999998</v>
      </c>
      <c r="M333" s="9">
        <v>12.063700000000001</v>
      </c>
      <c r="N333" s="9">
        <v>4.9444999999999997</v>
      </c>
      <c r="O333" s="9">
        <v>0.37459999999999999</v>
      </c>
      <c r="P333" s="9">
        <v>1.2192000000000001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CONTROL!$C$32, 7.8977, 7.8925) * CHOOSE(CONTROL!$C$15, $D$11, 100%, $F$11)</f>
        <v>7.8977000000000004</v>
      </c>
      <c r="C334" s="8">
        <f>CHOOSE( CONTROL!$C$32, 7.9082, 7.9029) * CHOOSE(CONTROL!$C$15, $D$11, 100%, $F$11)</f>
        <v>7.9081999999999999</v>
      </c>
      <c r="D334" s="8">
        <f>CHOOSE( CONTROL!$C$32, 7.9286, 7.9234) * CHOOSE( CONTROL!$C$15, $D$11, 100%, $F$11)</f>
        <v>7.9286000000000003</v>
      </c>
      <c r="E334" s="12">
        <f>CHOOSE( CONTROL!$C$32, 7.9196, 7.9144) * CHOOSE( CONTROL!$C$15, $D$11, 100%, $F$11)</f>
        <v>7.9196</v>
      </c>
      <c r="F334" s="4">
        <f>CHOOSE( CONTROL!$C$32, 8.9332, 8.9279) * CHOOSE(CONTROL!$C$15, $D$11, 100%, $F$11)</f>
        <v>8.9331999999999994</v>
      </c>
      <c r="G334" s="8">
        <f>CHOOSE( CONTROL!$C$32, 7.7039, 7.6988) * CHOOSE( CONTROL!$C$15, $D$11, 100%, $F$11)</f>
        <v>7.7039</v>
      </c>
      <c r="H334" s="4">
        <f>CHOOSE( CONTROL!$C$32, 8.6316, 8.6264) * CHOOSE(CONTROL!$C$15, $D$11, 100%, $F$11)</f>
        <v>8.6316000000000006</v>
      </c>
      <c r="I334" s="8">
        <f>CHOOSE( CONTROL!$C$32, 7.6254, 7.6204) * CHOOSE(CONTROL!$C$15, $D$11, 100%, $F$11)</f>
        <v>7.6254</v>
      </c>
      <c r="J334" s="4">
        <f>CHOOSE( CONTROL!$C$32, 7.5629, 7.5578) * CHOOSE(CONTROL!$C$15, $D$11, 100%, $F$11)</f>
        <v>7.5629</v>
      </c>
      <c r="K334" s="4"/>
      <c r="L334" s="9">
        <v>28.568200000000001</v>
      </c>
      <c r="M334" s="9">
        <v>11.6745</v>
      </c>
      <c r="N334" s="9">
        <v>4.7850000000000001</v>
      </c>
      <c r="O334" s="9">
        <v>0.36249999999999999</v>
      </c>
      <c r="P334" s="9">
        <v>1.1798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CONTROL!$C$32, 8.2371, 8.2319) * CHOOSE(CONTROL!$C$15, $D$11, 100%, $F$11)</f>
        <v>8.2370999999999999</v>
      </c>
      <c r="C335" s="8">
        <f>CHOOSE( CONTROL!$C$32, 8.2476, 8.2423) * CHOOSE(CONTROL!$C$15, $D$11, 100%, $F$11)</f>
        <v>8.2476000000000003</v>
      </c>
      <c r="D335" s="8">
        <f>CHOOSE( CONTROL!$C$32, 8.2582, 8.2529) * CHOOSE( CONTROL!$C$15, $D$11, 100%, $F$11)</f>
        <v>8.2582000000000004</v>
      </c>
      <c r="E335" s="12">
        <f>CHOOSE( CONTROL!$C$32, 8.2528, 8.2475) * CHOOSE( CONTROL!$C$15, $D$11, 100%, $F$11)</f>
        <v>8.2528000000000006</v>
      </c>
      <c r="F335" s="4">
        <f>CHOOSE( CONTROL!$C$32, 9.2726, 9.2673) * CHOOSE(CONTROL!$C$15, $D$11, 100%, $F$11)</f>
        <v>9.2726000000000006</v>
      </c>
      <c r="G335" s="8">
        <f>CHOOSE( CONTROL!$C$32, 8.0215, 8.0164) * CHOOSE( CONTROL!$C$15, $D$11, 100%, $F$11)</f>
        <v>8.0214999999999996</v>
      </c>
      <c r="H335" s="4">
        <f>CHOOSE( CONTROL!$C$32, 8.9624, 8.9573) * CHOOSE(CONTROL!$C$15, $D$11, 100%, $F$11)</f>
        <v>8.9624000000000006</v>
      </c>
      <c r="I335" s="8">
        <f>CHOOSE( CONTROL!$C$32, 7.9542, 7.9491) * CHOOSE(CONTROL!$C$15, $D$11, 100%, $F$11)</f>
        <v>7.9542000000000002</v>
      </c>
      <c r="J335" s="4">
        <f>CHOOSE( CONTROL!$C$32, 7.8881, 7.883) * CHOOSE(CONTROL!$C$15, $D$11, 100%, $F$11)</f>
        <v>7.8880999999999997</v>
      </c>
      <c r="K335" s="4"/>
      <c r="L335" s="9">
        <v>29.520499999999998</v>
      </c>
      <c r="M335" s="9">
        <v>12.063700000000001</v>
      </c>
      <c r="N335" s="9">
        <v>4.9444999999999997</v>
      </c>
      <c r="O335" s="9">
        <v>0.37459999999999999</v>
      </c>
      <c r="P335" s="9">
        <v>1.2192000000000001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CONTROL!$C$32, 7.6021, 7.5968) * CHOOSE(CONTROL!$C$15, $D$11, 100%, $F$11)</f>
        <v>7.6021000000000001</v>
      </c>
      <c r="C336" s="8">
        <f>CHOOSE( CONTROL!$C$32, 7.6125, 7.6073) * CHOOSE(CONTROL!$C$15, $D$11, 100%, $F$11)</f>
        <v>7.6124999999999998</v>
      </c>
      <c r="D336" s="8">
        <f>CHOOSE( CONTROL!$C$32, 7.6235, 7.6182) * CHOOSE( CONTROL!$C$15, $D$11, 100%, $F$11)</f>
        <v>7.6234999999999999</v>
      </c>
      <c r="E336" s="12">
        <f>CHOOSE( CONTROL!$C$32, 7.6179, 7.6126) * CHOOSE( CONTROL!$C$15, $D$11, 100%, $F$11)</f>
        <v>7.6178999999999997</v>
      </c>
      <c r="F336" s="4">
        <f>CHOOSE( CONTROL!$C$32, 8.6375, 8.6323) * CHOOSE(CONTROL!$C$15, $D$11, 100%, $F$11)</f>
        <v>8.6374999999999993</v>
      </c>
      <c r="G336" s="8">
        <f>CHOOSE( CONTROL!$C$32, 7.403, 7.3979) * CHOOSE( CONTROL!$C$15, $D$11, 100%, $F$11)</f>
        <v>7.4029999999999996</v>
      </c>
      <c r="H336" s="4">
        <f>CHOOSE( CONTROL!$C$32, 8.3434, 8.3382) * CHOOSE(CONTROL!$C$15, $D$11, 100%, $F$11)</f>
        <v>8.3434000000000008</v>
      </c>
      <c r="I336" s="8">
        <f>CHOOSE( CONTROL!$C$32, 7.347, 7.3419) * CHOOSE(CONTROL!$C$15, $D$11, 100%, $F$11)</f>
        <v>7.3470000000000004</v>
      </c>
      <c r="J336" s="4">
        <f>CHOOSE( CONTROL!$C$32, 7.2796, 7.2745) * CHOOSE(CONTROL!$C$15, $D$11, 100%, $F$11)</f>
        <v>7.2796000000000003</v>
      </c>
      <c r="K336" s="4"/>
      <c r="L336" s="9">
        <v>29.520499999999998</v>
      </c>
      <c r="M336" s="9">
        <v>12.063700000000001</v>
      </c>
      <c r="N336" s="9">
        <v>4.9444999999999997</v>
      </c>
      <c r="O336" s="9">
        <v>0.37459999999999999</v>
      </c>
      <c r="P336" s="9">
        <v>1.2192000000000001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CONTROL!$C$32, 7.4431, 7.4378) * CHOOSE(CONTROL!$C$15, $D$11, 100%, $F$11)</f>
        <v>7.4431000000000003</v>
      </c>
      <c r="C337" s="8">
        <f>CHOOSE( CONTROL!$C$32, 7.4535, 7.4482) * CHOOSE(CONTROL!$C$15, $D$11, 100%, $F$11)</f>
        <v>7.4535</v>
      </c>
      <c r="D337" s="8">
        <f>CHOOSE( CONTROL!$C$32, 7.4646, 7.4593) * CHOOSE( CONTROL!$C$15, $D$11, 100%, $F$11)</f>
        <v>7.4645999999999999</v>
      </c>
      <c r="E337" s="12">
        <f>CHOOSE( CONTROL!$C$32, 7.459, 7.4537) * CHOOSE( CONTROL!$C$15, $D$11, 100%, $F$11)</f>
        <v>7.4589999999999996</v>
      </c>
      <c r="F337" s="4">
        <f>CHOOSE( CONTROL!$C$32, 8.4785, 8.4732) * CHOOSE(CONTROL!$C$15, $D$11, 100%, $F$11)</f>
        <v>8.4785000000000004</v>
      </c>
      <c r="G337" s="8">
        <f>CHOOSE( CONTROL!$C$32, 7.2482, 7.2431) * CHOOSE( CONTROL!$C$15, $D$11, 100%, $F$11)</f>
        <v>7.2481999999999998</v>
      </c>
      <c r="H337" s="4">
        <f>CHOOSE( CONTROL!$C$32, 8.1883, 8.1832) * CHOOSE(CONTROL!$C$15, $D$11, 100%, $F$11)</f>
        <v>8.1882999999999999</v>
      </c>
      <c r="I337" s="8">
        <f>CHOOSE( CONTROL!$C$32, 7.1952, 7.1902) * CHOOSE(CONTROL!$C$15, $D$11, 100%, $F$11)</f>
        <v>7.1951999999999998</v>
      </c>
      <c r="J337" s="4">
        <f>CHOOSE( CONTROL!$C$32, 7.1272, 7.1221) * CHOOSE(CONTROL!$C$15, $D$11, 100%, $F$11)</f>
        <v>7.1272000000000002</v>
      </c>
      <c r="K337" s="4"/>
      <c r="L337" s="9">
        <v>28.568200000000001</v>
      </c>
      <c r="M337" s="9">
        <v>11.6745</v>
      </c>
      <c r="N337" s="9">
        <v>4.7850000000000001</v>
      </c>
      <c r="O337" s="9">
        <v>0.36249999999999999</v>
      </c>
      <c r="P337" s="9">
        <v>1.1798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7.768 * CHOOSE(CONTROL!$C$15, $D$11, 100%, $F$11)</f>
        <v>7.7679999999999998</v>
      </c>
      <c r="C338" s="8">
        <f>7.7784 * CHOOSE(CONTROL!$C$15, $D$11, 100%, $F$11)</f>
        <v>7.7784000000000004</v>
      </c>
      <c r="D338" s="8">
        <f>7.7908 * CHOOSE( CONTROL!$C$15, $D$11, 100%, $F$11)</f>
        <v>7.7907999999999999</v>
      </c>
      <c r="E338" s="12">
        <f>7.7856 * CHOOSE( CONTROL!$C$15, $D$11, 100%, $F$11)</f>
        <v>7.7855999999999996</v>
      </c>
      <c r="F338" s="4">
        <f>8.8034 * CHOOSE(CONTROL!$C$15, $D$11, 100%, $F$11)</f>
        <v>8.8033999999999999</v>
      </c>
      <c r="G338" s="8">
        <f>7.5643 * CHOOSE( CONTROL!$C$15, $D$11, 100%, $F$11)</f>
        <v>7.5643000000000002</v>
      </c>
      <c r="H338" s="4">
        <f>8.5051 * CHOOSE(CONTROL!$C$15, $D$11, 100%, $F$11)</f>
        <v>8.5051000000000005</v>
      </c>
      <c r="I338" s="8">
        <f>7.5081 * CHOOSE(CONTROL!$C$15, $D$11, 100%, $F$11)</f>
        <v>7.5080999999999998</v>
      </c>
      <c r="J338" s="4">
        <f>7.4385 * CHOOSE(CONTROL!$C$15, $D$11, 100%, $F$11)</f>
        <v>7.4385000000000003</v>
      </c>
      <c r="K338" s="4"/>
      <c r="L338" s="9">
        <v>28.921800000000001</v>
      </c>
      <c r="M338" s="9">
        <v>12.063700000000001</v>
      </c>
      <c r="N338" s="9">
        <v>4.9444999999999997</v>
      </c>
      <c r="O338" s="9">
        <v>0.37459999999999999</v>
      </c>
      <c r="P338" s="9">
        <v>1.2192000000000001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8.3775 * CHOOSE(CONTROL!$C$15, $D$11, 100%, $F$11)</f>
        <v>8.3774999999999995</v>
      </c>
      <c r="C339" s="8">
        <f>8.3879 * CHOOSE(CONTROL!$C$15, $D$11, 100%, $F$11)</f>
        <v>8.3879000000000001</v>
      </c>
      <c r="D339" s="8">
        <f>8.3717 * CHOOSE( CONTROL!$C$15, $D$11, 100%, $F$11)</f>
        <v>8.3717000000000006</v>
      </c>
      <c r="E339" s="12">
        <f>8.3765 * CHOOSE( CONTROL!$C$15, $D$11, 100%, $F$11)</f>
        <v>8.3765000000000001</v>
      </c>
      <c r="F339" s="4">
        <f>9.3717 * CHOOSE(CONTROL!$C$15, $D$11, 100%, $F$11)</f>
        <v>9.3717000000000006</v>
      </c>
      <c r="G339" s="8">
        <f>8.1794 * CHOOSE( CONTROL!$C$15, $D$11, 100%, $F$11)</f>
        <v>8.1793999999999993</v>
      </c>
      <c r="H339" s="4">
        <f>9.059 * CHOOSE(CONTROL!$C$15, $D$11, 100%, $F$11)</f>
        <v>9.0589999999999993</v>
      </c>
      <c r="I339" s="8">
        <f>8.1293 * CHOOSE(CONTROL!$C$15, $D$11, 100%, $F$11)</f>
        <v>8.1293000000000006</v>
      </c>
      <c r="J339" s="4">
        <f>8.0225 * CHOOSE(CONTROL!$C$15, $D$11, 100%, $F$11)</f>
        <v>8.0225000000000009</v>
      </c>
      <c r="K339" s="4"/>
      <c r="L339" s="9">
        <v>26.515499999999999</v>
      </c>
      <c r="M339" s="9">
        <v>11.6745</v>
      </c>
      <c r="N339" s="9">
        <v>4.7850000000000001</v>
      </c>
      <c r="O339" s="9">
        <v>0.36249999999999999</v>
      </c>
      <c r="P339" s="9">
        <v>1.2522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8.3622 * CHOOSE(CONTROL!$C$15, $D$11, 100%, $F$11)</f>
        <v>8.3621999999999996</v>
      </c>
      <c r="C340" s="8">
        <f>8.3727 * CHOOSE(CONTROL!$C$15, $D$11, 100%, $F$11)</f>
        <v>8.3727</v>
      </c>
      <c r="D340" s="8">
        <f>8.3587 * CHOOSE( CONTROL!$C$15, $D$11, 100%, $F$11)</f>
        <v>8.3587000000000007</v>
      </c>
      <c r="E340" s="12">
        <f>8.3627 * CHOOSE( CONTROL!$C$15, $D$11, 100%, $F$11)</f>
        <v>8.3627000000000002</v>
      </c>
      <c r="F340" s="4">
        <f>9.3564 * CHOOSE(CONTROL!$C$15, $D$11, 100%, $F$11)</f>
        <v>9.3564000000000007</v>
      </c>
      <c r="G340" s="8">
        <f>8.1663 * CHOOSE( CONTROL!$C$15, $D$11, 100%, $F$11)</f>
        <v>8.1662999999999997</v>
      </c>
      <c r="H340" s="4">
        <f>9.0441 * CHOOSE(CONTROL!$C$15, $D$11, 100%, $F$11)</f>
        <v>9.0441000000000003</v>
      </c>
      <c r="I340" s="8">
        <f>8.1222 * CHOOSE(CONTROL!$C$15, $D$11, 100%, $F$11)</f>
        <v>8.1221999999999994</v>
      </c>
      <c r="J340" s="4">
        <f>8.0079 * CHOOSE(CONTROL!$C$15, $D$11, 100%, $F$11)</f>
        <v>8.0078999999999994</v>
      </c>
      <c r="K340" s="4"/>
      <c r="L340" s="9">
        <v>27.3993</v>
      </c>
      <c r="M340" s="9">
        <v>12.063700000000001</v>
      </c>
      <c r="N340" s="9">
        <v>4.9444999999999997</v>
      </c>
      <c r="O340" s="9">
        <v>0.37459999999999999</v>
      </c>
      <c r="P340" s="9">
        <v>1.2939000000000001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8.6816 * CHOOSE(CONTROL!$C$15, $D$11, 100%, $F$11)</f>
        <v>8.6815999999999995</v>
      </c>
      <c r="C341" s="8">
        <f>8.6921 * CHOOSE(CONTROL!$C$15, $D$11, 100%, $F$11)</f>
        <v>8.6920999999999999</v>
      </c>
      <c r="D341" s="8">
        <f>8.6914 * CHOOSE( CONTROL!$C$15, $D$11, 100%, $F$11)</f>
        <v>8.6913999999999998</v>
      </c>
      <c r="E341" s="12">
        <f>8.6905 * CHOOSE( CONTROL!$C$15, $D$11, 100%, $F$11)</f>
        <v>8.6905000000000001</v>
      </c>
      <c r="F341" s="4">
        <f>9.7046 * CHOOSE(CONTROL!$C$15, $D$11, 100%, $F$11)</f>
        <v>9.7045999999999992</v>
      </c>
      <c r="G341" s="8">
        <f>8.4912 * CHOOSE( CONTROL!$C$15, $D$11, 100%, $F$11)</f>
        <v>8.4911999999999992</v>
      </c>
      <c r="H341" s="4">
        <f>9.3835 * CHOOSE(CONTROL!$C$15, $D$11, 100%, $F$11)</f>
        <v>9.3834999999999997</v>
      </c>
      <c r="I341" s="8">
        <f>8.4267 * CHOOSE(CONTROL!$C$15, $D$11, 100%, $F$11)</f>
        <v>8.4267000000000003</v>
      </c>
      <c r="J341" s="4">
        <f>8.314 * CHOOSE(CONTROL!$C$15, $D$11, 100%, $F$11)</f>
        <v>8.3140000000000001</v>
      </c>
      <c r="K341" s="4"/>
      <c r="L341" s="9">
        <v>27.3993</v>
      </c>
      <c r="M341" s="9">
        <v>12.063700000000001</v>
      </c>
      <c r="N341" s="9">
        <v>4.9444999999999997</v>
      </c>
      <c r="O341" s="9">
        <v>0.37459999999999999</v>
      </c>
      <c r="P341" s="9">
        <v>1.2939000000000001</v>
      </c>
      <c r="Q341" s="9">
        <v>20.5288</v>
      </c>
      <c r="R341" s="9"/>
      <c r="S341" s="11"/>
    </row>
    <row r="342" spans="1:19" ht="15.75">
      <c r="A342" s="13">
        <v>52290</v>
      </c>
      <c r="B342" s="8">
        <f>8.1207 * CHOOSE(CONTROL!$C$15, $D$11, 100%, $F$11)</f>
        <v>8.1206999999999994</v>
      </c>
      <c r="C342" s="8">
        <f>8.1311 * CHOOSE(CONTROL!$C$15, $D$11, 100%, $F$11)</f>
        <v>8.1311</v>
      </c>
      <c r="D342" s="8">
        <f>8.1327 * CHOOSE( CONTROL!$C$15, $D$11, 100%, $F$11)</f>
        <v>8.1326999999999998</v>
      </c>
      <c r="E342" s="12">
        <f>8.131 * CHOOSE( CONTROL!$C$15, $D$11, 100%, $F$11)</f>
        <v>8.1310000000000002</v>
      </c>
      <c r="F342" s="4">
        <f>9.1358 * CHOOSE(CONTROL!$C$15, $D$11, 100%, $F$11)</f>
        <v>9.1357999999999997</v>
      </c>
      <c r="G342" s="8">
        <f>7.9442 * CHOOSE( CONTROL!$C$15, $D$11, 100%, $F$11)</f>
        <v>7.9442000000000004</v>
      </c>
      <c r="H342" s="4">
        <f>8.8291 * CHOOSE(CONTROL!$C$15, $D$11, 100%, $F$11)</f>
        <v>8.8291000000000004</v>
      </c>
      <c r="I342" s="8">
        <f>7.878 * CHOOSE(CONTROL!$C$15, $D$11, 100%, $F$11)</f>
        <v>7.8780000000000001</v>
      </c>
      <c r="J342" s="4">
        <f>7.7765 * CHOOSE(CONTROL!$C$15, $D$11, 100%, $F$11)</f>
        <v>7.7765000000000004</v>
      </c>
      <c r="K342" s="4"/>
      <c r="L342" s="9">
        <v>24.747800000000002</v>
      </c>
      <c r="M342" s="9">
        <v>10.8962</v>
      </c>
      <c r="N342" s="9">
        <v>4.4660000000000002</v>
      </c>
      <c r="O342" s="9">
        <v>0.33829999999999999</v>
      </c>
      <c r="P342" s="9">
        <v>1.1687000000000001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7.9479 * CHOOSE(CONTROL!$C$15, $D$11, 100%, $F$11)</f>
        <v>7.9478999999999997</v>
      </c>
      <c r="C343" s="8">
        <f>7.9584 * CHOOSE(CONTROL!$C$15, $D$11, 100%, $F$11)</f>
        <v>7.9584000000000001</v>
      </c>
      <c r="D343" s="8">
        <f>7.9394 * CHOOSE( CONTROL!$C$15, $D$11, 100%, $F$11)</f>
        <v>7.9394</v>
      </c>
      <c r="E343" s="12">
        <f>7.9452 * CHOOSE( CONTROL!$C$15, $D$11, 100%, $F$11)</f>
        <v>7.9451999999999998</v>
      </c>
      <c r="F343" s="4">
        <f>8.9469 * CHOOSE(CONTROL!$C$15, $D$11, 100%, $F$11)</f>
        <v>8.9468999999999994</v>
      </c>
      <c r="G343" s="8">
        <f>7.755 * CHOOSE( CONTROL!$C$15, $D$11, 100%, $F$11)</f>
        <v>7.7549999999999999</v>
      </c>
      <c r="H343" s="4">
        <f>8.6449 * CHOOSE(CONTROL!$C$15, $D$11, 100%, $F$11)</f>
        <v>8.6448999999999998</v>
      </c>
      <c r="I343" s="8">
        <f>7.6729 * CHOOSE(CONTROL!$C$15, $D$11, 100%, $F$11)</f>
        <v>7.6729000000000003</v>
      </c>
      <c r="J343" s="4">
        <f>7.611 * CHOOSE(CONTROL!$C$15, $D$11, 100%, $F$11)</f>
        <v>7.6109999999999998</v>
      </c>
      <c r="K343" s="4"/>
      <c r="L343" s="9">
        <v>27.3993</v>
      </c>
      <c r="M343" s="9">
        <v>12.063700000000001</v>
      </c>
      <c r="N343" s="9">
        <v>4.9444999999999997</v>
      </c>
      <c r="O343" s="9">
        <v>0.37459999999999999</v>
      </c>
      <c r="P343" s="9">
        <v>1.2939000000000001</v>
      </c>
      <c r="Q343" s="9">
        <v>20.5288</v>
      </c>
      <c r="R343" s="9"/>
      <c r="S343" s="11"/>
    </row>
    <row r="344" spans="1:19" ht="15.75">
      <c r="A344" s="13">
        <v>52351</v>
      </c>
      <c r="B344" s="8">
        <f>8.0687 * CHOOSE(CONTROL!$C$15, $D$11, 100%, $F$11)</f>
        <v>8.0686999999999998</v>
      </c>
      <c r="C344" s="8">
        <f>8.0791 * CHOOSE(CONTROL!$C$15, $D$11, 100%, $F$11)</f>
        <v>8.0791000000000004</v>
      </c>
      <c r="D344" s="8">
        <f>8.0831 * CHOOSE( CONTROL!$C$15, $D$11, 100%, $F$11)</f>
        <v>8.0831</v>
      </c>
      <c r="E344" s="12">
        <f>8.0806 * CHOOSE( CONTROL!$C$15, $D$11, 100%, $F$11)</f>
        <v>8.0806000000000004</v>
      </c>
      <c r="F344" s="4">
        <f>9.0759 * CHOOSE(CONTROL!$C$15, $D$11, 100%, $F$11)</f>
        <v>9.0759000000000007</v>
      </c>
      <c r="G344" s="8">
        <f>7.8611 * CHOOSE( CONTROL!$C$15, $D$11, 100%, $F$11)</f>
        <v>7.8611000000000004</v>
      </c>
      <c r="H344" s="4">
        <f>8.7707 * CHOOSE(CONTROL!$C$15, $D$11, 100%, $F$11)</f>
        <v>8.7706999999999997</v>
      </c>
      <c r="I344" s="8">
        <f>7.7787 * CHOOSE(CONTROL!$C$15, $D$11, 100%, $F$11)</f>
        <v>7.7786999999999997</v>
      </c>
      <c r="J344" s="4">
        <f>7.7266 * CHOOSE(CONTROL!$C$15, $D$11, 100%, $F$11)</f>
        <v>7.7266000000000004</v>
      </c>
      <c r="K344" s="4"/>
      <c r="L344" s="9">
        <v>27.988800000000001</v>
      </c>
      <c r="M344" s="9">
        <v>11.6745</v>
      </c>
      <c r="N344" s="9">
        <v>4.7850000000000001</v>
      </c>
      <c r="O344" s="9">
        <v>0.36249999999999999</v>
      </c>
      <c r="P344" s="9">
        <v>1.1798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CONTROL!$C$32, 8.2888, 8.2835) * CHOOSE(CONTROL!$C$15, $D$11, 100%, $F$11)</f>
        <v>8.2888000000000002</v>
      </c>
      <c r="C345" s="8">
        <f>CHOOSE( CONTROL!$C$32, 8.2992, 8.294) * CHOOSE(CONTROL!$C$15, $D$11, 100%, $F$11)</f>
        <v>8.2992000000000008</v>
      </c>
      <c r="D345" s="8">
        <f>CHOOSE( CONTROL!$C$32, 8.3121, 8.3068) * CHOOSE( CONTROL!$C$15, $D$11, 100%, $F$11)</f>
        <v>8.3120999999999992</v>
      </c>
      <c r="E345" s="12">
        <f>CHOOSE( CONTROL!$C$32, 8.3058, 8.3006) * CHOOSE( CONTROL!$C$15, $D$11, 100%, $F$11)</f>
        <v>8.3057999999999996</v>
      </c>
      <c r="F345" s="4">
        <f>CHOOSE( CONTROL!$C$32, 9.3117, 9.3064) * CHOOSE(CONTROL!$C$15, $D$11, 100%, $F$11)</f>
        <v>9.3117000000000001</v>
      </c>
      <c r="G345" s="8">
        <f>CHOOSE( CONTROL!$C$32, 8.0813, 8.0761) * CHOOSE( CONTROL!$C$15, $D$11, 100%, $F$11)</f>
        <v>8.0813000000000006</v>
      </c>
      <c r="H345" s="4">
        <f>CHOOSE( CONTROL!$C$32, 9.0005, 8.9954) * CHOOSE(CONTROL!$C$15, $D$11, 100%, $F$11)</f>
        <v>9.0005000000000006</v>
      </c>
      <c r="I345" s="8">
        <f>CHOOSE( CONTROL!$C$32, 7.9951, 7.99) * CHOOSE(CONTROL!$C$15, $D$11, 100%, $F$11)</f>
        <v>7.9950999999999999</v>
      </c>
      <c r="J345" s="4">
        <f>CHOOSE( CONTROL!$C$32, 7.9376, 7.9325) * CHOOSE(CONTROL!$C$15, $D$11, 100%, $F$11)</f>
        <v>7.9375999999999998</v>
      </c>
      <c r="K345" s="4"/>
      <c r="L345" s="9">
        <v>29.520499999999998</v>
      </c>
      <c r="M345" s="9">
        <v>12.063700000000001</v>
      </c>
      <c r="N345" s="9">
        <v>4.9444999999999997</v>
      </c>
      <c r="O345" s="9">
        <v>0.37459999999999999</v>
      </c>
      <c r="P345" s="9">
        <v>1.2192000000000001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CONTROL!$C$32, 8.1557, 8.1504) * CHOOSE(CONTROL!$C$15, $D$11, 100%, $F$11)</f>
        <v>8.1556999999999995</v>
      </c>
      <c r="C346" s="8">
        <f>CHOOSE( CONTROL!$C$32, 8.1661, 8.1609) * CHOOSE(CONTROL!$C$15, $D$11, 100%, $F$11)</f>
        <v>8.1661000000000001</v>
      </c>
      <c r="D346" s="8">
        <f>CHOOSE( CONTROL!$C$32, 8.1866, 8.1813) * CHOOSE( CONTROL!$C$15, $D$11, 100%, $F$11)</f>
        <v>8.1866000000000003</v>
      </c>
      <c r="E346" s="12">
        <f>CHOOSE( CONTROL!$C$32, 8.1776, 8.1723) * CHOOSE( CONTROL!$C$15, $D$11, 100%, $F$11)</f>
        <v>8.1776</v>
      </c>
      <c r="F346" s="4">
        <f>CHOOSE( CONTROL!$C$32, 9.1911, 9.1859) * CHOOSE(CONTROL!$C$15, $D$11, 100%, $F$11)</f>
        <v>9.1911000000000005</v>
      </c>
      <c r="G346" s="8">
        <f>CHOOSE( CONTROL!$C$32, 7.9554, 7.9503) * CHOOSE( CONTROL!$C$15, $D$11, 100%, $F$11)</f>
        <v>7.9554</v>
      </c>
      <c r="H346" s="4">
        <f>CHOOSE( CONTROL!$C$32, 8.883, 8.8779) * CHOOSE(CONTROL!$C$15, $D$11, 100%, $F$11)</f>
        <v>8.8829999999999991</v>
      </c>
      <c r="I346" s="8">
        <f>CHOOSE( CONTROL!$C$32, 7.8727, 7.8677) * CHOOSE(CONTROL!$C$15, $D$11, 100%, $F$11)</f>
        <v>7.8727</v>
      </c>
      <c r="J346" s="4">
        <f>CHOOSE( CONTROL!$C$32, 7.81, 7.805) * CHOOSE(CONTROL!$C$15, $D$11, 100%, $F$11)</f>
        <v>7.81</v>
      </c>
      <c r="K346" s="4"/>
      <c r="L346" s="9">
        <v>28.568200000000001</v>
      </c>
      <c r="M346" s="9">
        <v>11.6745</v>
      </c>
      <c r="N346" s="9">
        <v>4.7850000000000001</v>
      </c>
      <c r="O346" s="9">
        <v>0.36249999999999999</v>
      </c>
      <c r="P346" s="9">
        <v>1.1798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CONTROL!$C$32, 8.5062, 8.5009) * CHOOSE(CONTROL!$C$15, $D$11, 100%, $F$11)</f>
        <v>8.5061999999999998</v>
      </c>
      <c r="C347" s="8">
        <f>CHOOSE( CONTROL!$C$32, 8.5166, 8.5114) * CHOOSE(CONTROL!$C$15, $D$11, 100%, $F$11)</f>
        <v>8.5166000000000004</v>
      </c>
      <c r="D347" s="8">
        <f>CHOOSE( CONTROL!$C$32, 8.5272, 8.522) * CHOOSE( CONTROL!$C$15, $D$11, 100%, $F$11)</f>
        <v>8.5272000000000006</v>
      </c>
      <c r="E347" s="12">
        <f>CHOOSE( CONTROL!$C$32, 8.5218, 8.5166) * CHOOSE( CONTROL!$C$15, $D$11, 100%, $F$11)</f>
        <v>8.5218000000000007</v>
      </c>
      <c r="F347" s="4">
        <f>CHOOSE( CONTROL!$C$32, 9.5416, 9.5364) * CHOOSE(CONTROL!$C$15, $D$11, 100%, $F$11)</f>
        <v>9.5416000000000007</v>
      </c>
      <c r="G347" s="8">
        <f>CHOOSE( CONTROL!$C$32, 8.2838, 8.2787) * CHOOSE( CONTROL!$C$15, $D$11, 100%, $F$11)</f>
        <v>8.2837999999999994</v>
      </c>
      <c r="H347" s="4">
        <f>CHOOSE( CONTROL!$C$32, 9.2247, 9.2195) * CHOOSE(CONTROL!$C$15, $D$11, 100%, $F$11)</f>
        <v>9.2247000000000003</v>
      </c>
      <c r="I347" s="8">
        <f>CHOOSE( CONTROL!$C$32, 8.2121, 8.2071) * CHOOSE(CONTROL!$C$15, $D$11, 100%, $F$11)</f>
        <v>8.2120999999999995</v>
      </c>
      <c r="J347" s="4">
        <f>CHOOSE( CONTROL!$C$32, 8.1459, 8.1408) * CHOOSE(CONTROL!$C$15, $D$11, 100%, $F$11)</f>
        <v>8.1458999999999993</v>
      </c>
      <c r="K347" s="4"/>
      <c r="L347" s="9">
        <v>29.520499999999998</v>
      </c>
      <c r="M347" s="9">
        <v>12.063700000000001</v>
      </c>
      <c r="N347" s="9">
        <v>4.9444999999999997</v>
      </c>
      <c r="O347" s="9">
        <v>0.37459999999999999</v>
      </c>
      <c r="P347" s="9">
        <v>1.2192000000000001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CONTROL!$C$32, 7.8504, 7.8451) * CHOOSE(CONTROL!$C$15, $D$11, 100%, $F$11)</f>
        <v>7.8503999999999996</v>
      </c>
      <c r="C348" s="8">
        <f>CHOOSE( CONTROL!$C$32, 7.8608, 7.8555) * CHOOSE(CONTROL!$C$15, $D$11, 100%, $F$11)</f>
        <v>7.8608000000000002</v>
      </c>
      <c r="D348" s="8">
        <f>CHOOSE( CONTROL!$C$32, 7.8717, 7.8665) * CHOOSE( CONTROL!$C$15, $D$11, 100%, $F$11)</f>
        <v>7.8716999999999997</v>
      </c>
      <c r="E348" s="12">
        <f>CHOOSE( CONTROL!$C$32, 7.8662, 7.8609) * CHOOSE( CONTROL!$C$15, $D$11, 100%, $F$11)</f>
        <v>7.8662000000000001</v>
      </c>
      <c r="F348" s="4">
        <f>CHOOSE( CONTROL!$C$32, 8.8858, 8.8805) * CHOOSE(CONTROL!$C$15, $D$11, 100%, $F$11)</f>
        <v>8.8857999999999997</v>
      </c>
      <c r="G348" s="8">
        <f>CHOOSE( CONTROL!$C$32, 7.645, 7.6399) * CHOOSE( CONTROL!$C$15, $D$11, 100%, $F$11)</f>
        <v>7.6449999999999996</v>
      </c>
      <c r="H348" s="4">
        <f>CHOOSE( CONTROL!$C$32, 8.5854, 8.5803) * CHOOSE(CONTROL!$C$15, $D$11, 100%, $F$11)</f>
        <v>8.5853999999999999</v>
      </c>
      <c r="I348" s="8">
        <f>CHOOSE( CONTROL!$C$32, 7.585, 7.58) * CHOOSE(CONTROL!$C$15, $D$11, 100%, $F$11)</f>
        <v>7.585</v>
      </c>
      <c r="J348" s="4">
        <f>CHOOSE( CONTROL!$C$32, 7.5175, 7.5124) * CHOOSE(CONTROL!$C$15, $D$11, 100%, $F$11)</f>
        <v>7.5175000000000001</v>
      </c>
      <c r="K348" s="4"/>
      <c r="L348" s="9">
        <v>29.520499999999998</v>
      </c>
      <c r="M348" s="9">
        <v>12.063700000000001</v>
      </c>
      <c r="N348" s="9">
        <v>4.9444999999999997</v>
      </c>
      <c r="O348" s="9">
        <v>0.37459999999999999</v>
      </c>
      <c r="P348" s="9">
        <v>1.2192000000000001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CONTROL!$C$32, 7.6861, 7.6809) * CHOOSE(CONTROL!$C$15, $D$11, 100%, $F$11)</f>
        <v>7.6860999999999997</v>
      </c>
      <c r="C349" s="8">
        <f>CHOOSE( CONTROL!$C$32, 7.6966, 7.6913) * CHOOSE(CONTROL!$C$15, $D$11, 100%, $F$11)</f>
        <v>7.6966000000000001</v>
      </c>
      <c r="D349" s="8">
        <f>CHOOSE( CONTROL!$C$32, 7.7077, 7.7024) * CHOOSE( CONTROL!$C$15, $D$11, 100%, $F$11)</f>
        <v>7.7077</v>
      </c>
      <c r="E349" s="12">
        <f>CHOOSE( CONTROL!$C$32, 7.7021, 7.6968) * CHOOSE( CONTROL!$C$15, $D$11, 100%, $F$11)</f>
        <v>7.7020999999999997</v>
      </c>
      <c r="F349" s="4">
        <f>CHOOSE( CONTROL!$C$32, 8.7216, 8.7163) * CHOOSE(CONTROL!$C$15, $D$11, 100%, $F$11)</f>
        <v>8.7216000000000005</v>
      </c>
      <c r="G349" s="8">
        <f>CHOOSE( CONTROL!$C$32, 7.4851, 7.48) * CHOOSE( CONTROL!$C$15, $D$11, 100%, $F$11)</f>
        <v>7.4851000000000001</v>
      </c>
      <c r="H349" s="4">
        <f>CHOOSE( CONTROL!$C$32, 8.4253, 8.4202) * CHOOSE(CONTROL!$C$15, $D$11, 100%, $F$11)</f>
        <v>8.4253</v>
      </c>
      <c r="I349" s="8">
        <f>CHOOSE( CONTROL!$C$32, 7.4282, 7.4232) * CHOOSE(CONTROL!$C$15, $D$11, 100%, $F$11)</f>
        <v>7.4282000000000004</v>
      </c>
      <c r="J349" s="4">
        <f>CHOOSE( CONTROL!$C$32, 7.3601, 7.3551) * CHOOSE(CONTROL!$C$15, $D$11, 100%, $F$11)</f>
        <v>7.3601000000000001</v>
      </c>
      <c r="K349" s="4"/>
      <c r="L349" s="9">
        <v>28.568200000000001</v>
      </c>
      <c r="M349" s="9">
        <v>11.6745</v>
      </c>
      <c r="N349" s="9">
        <v>4.7850000000000001</v>
      </c>
      <c r="O349" s="9">
        <v>0.36249999999999999</v>
      </c>
      <c r="P349" s="9">
        <v>1.1798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8.0219 * CHOOSE(CONTROL!$C$15, $D$11, 100%, $F$11)</f>
        <v>8.0219000000000005</v>
      </c>
      <c r="C350" s="8">
        <f>8.0323 * CHOOSE(CONTROL!$C$15, $D$11, 100%, $F$11)</f>
        <v>8.0322999999999993</v>
      </c>
      <c r="D350" s="8">
        <f>8.0447 * CHOOSE( CONTROL!$C$15, $D$11, 100%, $F$11)</f>
        <v>8.0447000000000006</v>
      </c>
      <c r="E350" s="12">
        <f>8.0395 * CHOOSE( CONTROL!$C$15, $D$11, 100%, $F$11)</f>
        <v>8.0395000000000003</v>
      </c>
      <c r="F350" s="4">
        <f>9.0573 * CHOOSE(CONTROL!$C$15, $D$11, 100%, $F$11)</f>
        <v>9.0572999999999997</v>
      </c>
      <c r="G350" s="8">
        <f>7.8118 * CHOOSE( CONTROL!$C$15, $D$11, 100%, $F$11)</f>
        <v>7.8117999999999999</v>
      </c>
      <c r="H350" s="4">
        <f>8.7526 * CHOOSE(CONTROL!$C$15, $D$11, 100%, $F$11)</f>
        <v>8.7525999999999993</v>
      </c>
      <c r="I350" s="8">
        <f>7.7515 * CHOOSE(CONTROL!$C$15, $D$11, 100%, $F$11)</f>
        <v>7.7515000000000001</v>
      </c>
      <c r="J350" s="4">
        <f>7.6818 * CHOOSE(CONTROL!$C$15, $D$11, 100%, $F$11)</f>
        <v>7.6818</v>
      </c>
      <c r="K350" s="4"/>
      <c r="L350" s="9">
        <v>28.921800000000001</v>
      </c>
      <c r="M350" s="9">
        <v>12.063700000000001</v>
      </c>
      <c r="N350" s="9">
        <v>4.9444999999999997</v>
      </c>
      <c r="O350" s="9">
        <v>0.37459999999999999</v>
      </c>
      <c r="P350" s="9">
        <v>1.2192000000000001</v>
      </c>
      <c r="Q350" s="9">
        <v>20.5288</v>
      </c>
      <c r="R350" s="9"/>
      <c r="S350" s="11"/>
    </row>
    <row r="351" spans="1:19" ht="15.75">
      <c r="A351" s="13">
        <v>52565</v>
      </c>
      <c r="B351" s="8">
        <f>8.6513 * CHOOSE(CONTROL!$C$15, $D$11, 100%, $F$11)</f>
        <v>8.6513000000000009</v>
      </c>
      <c r="C351" s="8">
        <f>8.6617 * CHOOSE(CONTROL!$C$15, $D$11, 100%, $F$11)</f>
        <v>8.6616999999999997</v>
      </c>
      <c r="D351" s="8">
        <f>8.6455 * CHOOSE( CONTROL!$C$15, $D$11, 100%, $F$11)</f>
        <v>8.6455000000000002</v>
      </c>
      <c r="E351" s="12">
        <f>8.6503 * CHOOSE( CONTROL!$C$15, $D$11, 100%, $F$11)</f>
        <v>8.6502999999999997</v>
      </c>
      <c r="F351" s="4">
        <f>9.6455 * CHOOSE(CONTROL!$C$15, $D$11, 100%, $F$11)</f>
        <v>9.6455000000000002</v>
      </c>
      <c r="G351" s="8">
        <f>8.4463 * CHOOSE( CONTROL!$C$15, $D$11, 100%, $F$11)</f>
        <v>8.4463000000000008</v>
      </c>
      <c r="H351" s="4">
        <f>9.3259 * CHOOSE(CONTROL!$C$15, $D$11, 100%, $F$11)</f>
        <v>9.3259000000000007</v>
      </c>
      <c r="I351" s="8">
        <f>8.3918 * CHOOSE(CONTROL!$C$15, $D$11, 100%, $F$11)</f>
        <v>8.3917999999999999</v>
      </c>
      <c r="J351" s="4">
        <f>8.2849 * CHOOSE(CONTROL!$C$15, $D$11, 100%, $F$11)</f>
        <v>8.2849000000000004</v>
      </c>
      <c r="K351" s="4"/>
      <c r="L351" s="9">
        <v>26.515499999999999</v>
      </c>
      <c r="M351" s="9">
        <v>11.6745</v>
      </c>
      <c r="N351" s="9">
        <v>4.7850000000000001</v>
      </c>
      <c r="O351" s="9">
        <v>0.36249999999999999</v>
      </c>
      <c r="P351" s="9">
        <v>1.2522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8.6355 * CHOOSE(CONTROL!$C$15, $D$11, 100%, $F$11)</f>
        <v>8.6355000000000004</v>
      </c>
      <c r="C352" s="8">
        <f>8.646 * CHOOSE(CONTROL!$C$15, $D$11, 100%, $F$11)</f>
        <v>8.6460000000000008</v>
      </c>
      <c r="D352" s="8">
        <f>8.632 * CHOOSE( CONTROL!$C$15, $D$11, 100%, $F$11)</f>
        <v>8.6319999999999997</v>
      </c>
      <c r="E352" s="12">
        <f>8.636 * CHOOSE( CONTROL!$C$15, $D$11, 100%, $F$11)</f>
        <v>8.6359999999999992</v>
      </c>
      <c r="F352" s="4">
        <f>9.6298 * CHOOSE(CONTROL!$C$15, $D$11, 100%, $F$11)</f>
        <v>9.6297999999999995</v>
      </c>
      <c r="G352" s="8">
        <f>8.4327 * CHOOSE( CONTROL!$C$15, $D$11, 100%, $F$11)</f>
        <v>8.4327000000000005</v>
      </c>
      <c r="H352" s="4">
        <f>9.3106 * CHOOSE(CONTROL!$C$15, $D$11, 100%, $F$11)</f>
        <v>9.3106000000000009</v>
      </c>
      <c r="I352" s="8">
        <f>8.3843 * CHOOSE(CONTROL!$C$15, $D$11, 100%, $F$11)</f>
        <v>8.3842999999999996</v>
      </c>
      <c r="J352" s="4">
        <f>8.2698 * CHOOSE(CONTROL!$C$15, $D$11, 100%, $F$11)</f>
        <v>8.2698</v>
      </c>
      <c r="K352" s="4"/>
      <c r="L352" s="9">
        <v>27.3993</v>
      </c>
      <c r="M352" s="9">
        <v>12.063700000000001</v>
      </c>
      <c r="N352" s="9">
        <v>4.9444999999999997</v>
      </c>
      <c r="O352" s="9">
        <v>0.37459999999999999</v>
      </c>
      <c r="P352" s="9">
        <v>1.2939000000000001</v>
      </c>
      <c r="Q352" s="9">
        <v>20.5288</v>
      </c>
      <c r="R352" s="9"/>
      <c r="S352" s="11"/>
    </row>
    <row r="353" spans="1:19" ht="15.75">
      <c r="A353" s="13">
        <v>52627</v>
      </c>
      <c r="B353" s="8">
        <f>8.9654 * CHOOSE(CONTROL!$C$15, $D$11, 100%, $F$11)</f>
        <v>8.9654000000000007</v>
      </c>
      <c r="C353" s="8">
        <f>8.9758 * CHOOSE(CONTROL!$C$15, $D$11, 100%, $F$11)</f>
        <v>8.9757999999999996</v>
      </c>
      <c r="D353" s="8">
        <f>8.9752 * CHOOSE( CONTROL!$C$15, $D$11, 100%, $F$11)</f>
        <v>8.9751999999999992</v>
      </c>
      <c r="E353" s="12">
        <f>8.9743 * CHOOSE( CONTROL!$C$15, $D$11, 100%, $F$11)</f>
        <v>8.9742999999999995</v>
      </c>
      <c r="F353" s="4">
        <f>9.9883 * CHOOSE(CONTROL!$C$15, $D$11, 100%, $F$11)</f>
        <v>9.9883000000000006</v>
      </c>
      <c r="G353" s="8">
        <f>8.7678 * CHOOSE( CONTROL!$C$15, $D$11, 100%, $F$11)</f>
        <v>8.7677999999999994</v>
      </c>
      <c r="H353" s="4">
        <f>9.6601 * CHOOSE(CONTROL!$C$15, $D$11, 100%, $F$11)</f>
        <v>9.6600999999999999</v>
      </c>
      <c r="I353" s="8">
        <f>8.6988 * CHOOSE(CONTROL!$C$15, $D$11, 100%, $F$11)</f>
        <v>8.6988000000000003</v>
      </c>
      <c r="J353" s="4">
        <f>8.5859 * CHOOSE(CONTROL!$C$15, $D$11, 100%, $F$11)</f>
        <v>8.5859000000000005</v>
      </c>
      <c r="K353" s="4"/>
      <c r="L353" s="9">
        <v>27.3993</v>
      </c>
      <c r="M353" s="9">
        <v>12.063700000000001</v>
      </c>
      <c r="N353" s="9">
        <v>4.9444999999999997</v>
      </c>
      <c r="O353" s="9">
        <v>0.37459999999999999</v>
      </c>
      <c r="P353" s="9">
        <v>1.2939000000000001</v>
      </c>
      <c r="Q353" s="9">
        <v>20.4619</v>
      </c>
      <c r="R353" s="9"/>
      <c r="S353" s="11"/>
    </row>
    <row r="354" spans="1:19" ht="15.75">
      <c r="A354" s="13">
        <v>52655</v>
      </c>
      <c r="B354" s="8">
        <f>8.3861 * CHOOSE(CONTROL!$C$15, $D$11, 100%, $F$11)</f>
        <v>8.3861000000000008</v>
      </c>
      <c r="C354" s="8">
        <f>8.3966 * CHOOSE(CONTROL!$C$15, $D$11, 100%, $F$11)</f>
        <v>8.3965999999999994</v>
      </c>
      <c r="D354" s="8">
        <f>8.3981 * CHOOSE( CONTROL!$C$15, $D$11, 100%, $F$11)</f>
        <v>8.3980999999999995</v>
      </c>
      <c r="E354" s="12">
        <f>8.3964 * CHOOSE( CONTROL!$C$15, $D$11, 100%, $F$11)</f>
        <v>8.3963999999999999</v>
      </c>
      <c r="F354" s="4">
        <f>9.4012 * CHOOSE(CONTROL!$C$15, $D$11, 100%, $F$11)</f>
        <v>9.4011999999999993</v>
      </c>
      <c r="G354" s="8">
        <f>8.2029 * CHOOSE( CONTROL!$C$15, $D$11, 100%, $F$11)</f>
        <v>8.2028999999999996</v>
      </c>
      <c r="H354" s="4">
        <f>9.0878 * CHOOSE(CONTROL!$C$15, $D$11, 100%, $F$11)</f>
        <v>9.0877999999999997</v>
      </c>
      <c r="I354" s="8">
        <f>8.1325 * CHOOSE(CONTROL!$C$15, $D$11, 100%, $F$11)</f>
        <v>8.1325000000000003</v>
      </c>
      <c r="J354" s="4">
        <f>8.0308 * CHOOSE(CONTROL!$C$15, $D$11, 100%, $F$11)</f>
        <v>8.0307999999999993</v>
      </c>
      <c r="K354" s="4"/>
      <c r="L354" s="9">
        <v>25.631599999999999</v>
      </c>
      <c r="M354" s="9">
        <v>11.285299999999999</v>
      </c>
      <c r="N354" s="9">
        <v>4.6254999999999997</v>
      </c>
      <c r="O354" s="9">
        <v>0.35039999999999999</v>
      </c>
      <c r="P354" s="9">
        <v>1.2104999999999999</v>
      </c>
      <c r="Q354" s="9">
        <v>19.1417</v>
      </c>
      <c r="R354" s="9"/>
      <c r="S354" s="11"/>
    </row>
    <row r="355" spans="1:19" ht="15.75">
      <c r="A355" s="13">
        <v>52687</v>
      </c>
      <c r="B355" s="8">
        <f>8.2077 * CHOOSE(CONTROL!$C$15, $D$11, 100%, $F$11)</f>
        <v>8.2077000000000009</v>
      </c>
      <c r="C355" s="8">
        <f>8.2181 * CHOOSE(CONTROL!$C$15, $D$11, 100%, $F$11)</f>
        <v>8.2180999999999997</v>
      </c>
      <c r="D355" s="8">
        <f>8.1992 * CHOOSE( CONTROL!$C$15, $D$11, 100%, $F$11)</f>
        <v>8.1991999999999994</v>
      </c>
      <c r="E355" s="12">
        <f>8.205 * CHOOSE( CONTROL!$C$15, $D$11, 100%, $F$11)</f>
        <v>8.2050000000000001</v>
      </c>
      <c r="F355" s="4">
        <f>9.2066 * CHOOSE(CONTROL!$C$15, $D$11, 100%, $F$11)</f>
        <v>9.2065999999999999</v>
      </c>
      <c r="G355" s="8">
        <f>8.0083 * CHOOSE( CONTROL!$C$15, $D$11, 100%, $F$11)</f>
        <v>8.0083000000000002</v>
      </c>
      <c r="H355" s="4">
        <f>8.8981 * CHOOSE(CONTROL!$C$15, $D$11, 100%, $F$11)</f>
        <v>8.8980999999999995</v>
      </c>
      <c r="I355" s="8">
        <f>7.9219 * CHOOSE(CONTROL!$C$15, $D$11, 100%, $F$11)</f>
        <v>7.9218999999999999</v>
      </c>
      <c r="J355" s="4">
        <f>7.8599 * CHOOSE(CONTROL!$C$15, $D$11, 100%, $F$11)</f>
        <v>7.8598999999999997</v>
      </c>
      <c r="K355" s="4"/>
      <c r="L355" s="9">
        <v>27.3993</v>
      </c>
      <c r="M355" s="9">
        <v>12.063700000000001</v>
      </c>
      <c r="N355" s="9">
        <v>4.9444999999999997</v>
      </c>
      <c r="O355" s="9">
        <v>0.37459999999999999</v>
      </c>
      <c r="P355" s="9">
        <v>1.2939000000000001</v>
      </c>
      <c r="Q355" s="9">
        <v>20.4619</v>
      </c>
      <c r="R355" s="9"/>
      <c r="S355" s="11"/>
    </row>
    <row r="356" spans="1:19" ht="15.75">
      <c r="A356" s="13">
        <v>52717</v>
      </c>
      <c r="B356" s="8">
        <f>8.3324 * CHOOSE(CONTROL!$C$15, $D$11, 100%, $F$11)</f>
        <v>8.3323999999999998</v>
      </c>
      <c r="C356" s="8">
        <f>8.3428 * CHOOSE(CONTROL!$C$15, $D$11, 100%, $F$11)</f>
        <v>8.3428000000000004</v>
      </c>
      <c r="D356" s="8">
        <f>8.3468 * CHOOSE( CONTROL!$C$15, $D$11, 100%, $F$11)</f>
        <v>8.3468</v>
      </c>
      <c r="E356" s="12">
        <f>8.3443 * CHOOSE( CONTROL!$C$15, $D$11, 100%, $F$11)</f>
        <v>8.3443000000000005</v>
      </c>
      <c r="F356" s="4">
        <f>9.3396 * CHOOSE(CONTROL!$C$15, $D$11, 100%, $F$11)</f>
        <v>9.3396000000000008</v>
      </c>
      <c r="G356" s="8">
        <f>8.1182 * CHOOSE( CONTROL!$C$15, $D$11, 100%, $F$11)</f>
        <v>8.1181999999999999</v>
      </c>
      <c r="H356" s="4">
        <f>9.0278 * CHOOSE(CONTROL!$C$15, $D$11, 100%, $F$11)</f>
        <v>9.0277999999999992</v>
      </c>
      <c r="I356" s="8">
        <f>8.0316 * CHOOSE(CONTROL!$C$15, $D$11, 100%, $F$11)</f>
        <v>8.0315999999999992</v>
      </c>
      <c r="J356" s="4">
        <f>7.9793 * CHOOSE(CONTROL!$C$15, $D$11, 100%, $F$11)</f>
        <v>7.9793000000000003</v>
      </c>
      <c r="K356" s="4"/>
      <c r="L356" s="9">
        <v>27.988800000000001</v>
      </c>
      <c r="M356" s="9">
        <v>11.6745</v>
      </c>
      <c r="N356" s="9">
        <v>4.7850000000000001</v>
      </c>
      <c r="O356" s="9">
        <v>0.36249999999999999</v>
      </c>
      <c r="P356" s="9">
        <v>1.1798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CONTROL!$C$32, 8.5595, 8.5543) * CHOOSE(CONTROL!$C$15, $D$11, 100%, $F$11)</f>
        <v>8.5594999999999999</v>
      </c>
      <c r="C357" s="8">
        <f>CHOOSE( CONTROL!$C$32, 8.57, 8.5647) * CHOOSE(CONTROL!$C$15, $D$11, 100%, $F$11)</f>
        <v>8.57</v>
      </c>
      <c r="D357" s="8">
        <f>CHOOSE( CONTROL!$C$32, 8.5828, 8.5775) * CHOOSE( CONTROL!$C$15, $D$11, 100%, $F$11)</f>
        <v>8.5828000000000007</v>
      </c>
      <c r="E357" s="12">
        <f>CHOOSE( CONTROL!$C$32, 8.5766, 8.5713) * CHOOSE( CONTROL!$C$15, $D$11, 100%, $F$11)</f>
        <v>8.5765999999999991</v>
      </c>
      <c r="F357" s="4">
        <f>CHOOSE( CONTROL!$C$32, 9.5824, 9.5772) * CHOOSE(CONTROL!$C$15, $D$11, 100%, $F$11)</f>
        <v>9.5823999999999998</v>
      </c>
      <c r="G357" s="8">
        <f>CHOOSE( CONTROL!$C$32, 8.3452, 8.3401) * CHOOSE( CONTROL!$C$15, $D$11, 100%, $F$11)</f>
        <v>8.3452000000000002</v>
      </c>
      <c r="H357" s="4">
        <f>CHOOSE( CONTROL!$C$32, 9.2644, 9.2593) * CHOOSE(CONTROL!$C$15, $D$11, 100%, $F$11)</f>
        <v>9.2644000000000002</v>
      </c>
      <c r="I357" s="8">
        <f>CHOOSE( CONTROL!$C$32, 8.2546, 8.2496) * CHOOSE(CONTROL!$C$15, $D$11, 100%, $F$11)</f>
        <v>8.2545999999999999</v>
      </c>
      <c r="J357" s="4">
        <f>CHOOSE( CONTROL!$C$32, 8.197, 8.1919) * CHOOSE(CONTROL!$C$15, $D$11, 100%, $F$11)</f>
        <v>8.1969999999999992</v>
      </c>
      <c r="K357" s="4"/>
      <c r="L357" s="9">
        <v>29.520499999999998</v>
      </c>
      <c r="M357" s="9">
        <v>12.063700000000001</v>
      </c>
      <c r="N357" s="9">
        <v>4.9444999999999997</v>
      </c>
      <c r="O357" s="9">
        <v>0.37459999999999999</v>
      </c>
      <c r="P357" s="9">
        <v>1.2192000000000001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CONTROL!$C$32, 8.4221, 8.4168) * CHOOSE(CONTROL!$C$15, $D$11, 100%, $F$11)</f>
        <v>8.4221000000000004</v>
      </c>
      <c r="C358" s="8">
        <f>CHOOSE( CONTROL!$C$32, 8.4325, 8.4273) * CHOOSE(CONTROL!$C$15, $D$11, 100%, $F$11)</f>
        <v>8.4324999999999992</v>
      </c>
      <c r="D358" s="8">
        <f>CHOOSE( CONTROL!$C$32, 8.4529, 8.4477) * CHOOSE( CONTROL!$C$15, $D$11, 100%, $F$11)</f>
        <v>8.4528999999999996</v>
      </c>
      <c r="E358" s="12">
        <f>CHOOSE( CONTROL!$C$32, 8.4439, 8.4387) * CHOOSE( CONTROL!$C$15, $D$11, 100%, $F$11)</f>
        <v>8.4438999999999993</v>
      </c>
      <c r="F358" s="4">
        <f>CHOOSE( CONTROL!$C$32, 9.4575, 9.4523) * CHOOSE(CONTROL!$C$15, $D$11, 100%, $F$11)</f>
        <v>9.4574999999999996</v>
      </c>
      <c r="G358" s="8">
        <f>CHOOSE( CONTROL!$C$32, 8.215, 8.2099) * CHOOSE( CONTROL!$C$15, $D$11, 100%, $F$11)</f>
        <v>8.2149999999999999</v>
      </c>
      <c r="H358" s="4">
        <f>CHOOSE( CONTROL!$C$32, 9.1427, 9.1375) * CHOOSE(CONTROL!$C$15, $D$11, 100%, $F$11)</f>
        <v>9.1426999999999996</v>
      </c>
      <c r="I358" s="8">
        <f>CHOOSE( CONTROL!$C$32, 8.1281, 8.123) * CHOOSE(CONTROL!$C$15, $D$11, 100%, $F$11)</f>
        <v>8.1280999999999999</v>
      </c>
      <c r="J358" s="4">
        <f>CHOOSE( CONTROL!$C$32, 8.0653, 8.0602) * CHOOSE(CONTROL!$C$15, $D$11, 100%, $F$11)</f>
        <v>8.0653000000000006</v>
      </c>
      <c r="K358" s="4"/>
      <c r="L358" s="9">
        <v>28.568200000000001</v>
      </c>
      <c r="M358" s="9">
        <v>11.6745</v>
      </c>
      <c r="N358" s="9">
        <v>4.7850000000000001</v>
      </c>
      <c r="O358" s="9">
        <v>0.36249999999999999</v>
      </c>
      <c r="P358" s="9">
        <v>1.1798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CONTROL!$C$32, 8.784, 8.7788) * CHOOSE(CONTROL!$C$15, $D$11, 100%, $F$11)</f>
        <v>8.7840000000000007</v>
      </c>
      <c r="C359" s="8">
        <f>CHOOSE( CONTROL!$C$32, 8.7945, 8.7892) * CHOOSE(CONTROL!$C$15, $D$11, 100%, $F$11)</f>
        <v>8.7944999999999993</v>
      </c>
      <c r="D359" s="8">
        <f>CHOOSE( CONTROL!$C$32, 8.8051, 8.7998) * CHOOSE( CONTROL!$C$15, $D$11, 100%, $F$11)</f>
        <v>8.8050999999999995</v>
      </c>
      <c r="E359" s="12">
        <f>CHOOSE( CONTROL!$C$32, 8.7997, 8.7944) * CHOOSE( CONTROL!$C$15, $D$11, 100%, $F$11)</f>
        <v>8.7996999999999996</v>
      </c>
      <c r="F359" s="4">
        <f>CHOOSE( CONTROL!$C$32, 9.8195, 9.8142) * CHOOSE(CONTROL!$C$15, $D$11, 100%, $F$11)</f>
        <v>9.8194999999999997</v>
      </c>
      <c r="G359" s="8">
        <f>CHOOSE( CONTROL!$C$32, 8.5546, 8.5495) * CHOOSE( CONTROL!$C$15, $D$11, 100%, $F$11)</f>
        <v>8.5546000000000006</v>
      </c>
      <c r="H359" s="4">
        <f>CHOOSE( CONTROL!$C$32, 9.4955, 9.4904) * CHOOSE(CONTROL!$C$15, $D$11, 100%, $F$11)</f>
        <v>9.4954999999999998</v>
      </c>
      <c r="I359" s="8">
        <f>CHOOSE( CONTROL!$C$32, 8.4785, 8.4734) * CHOOSE(CONTROL!$C$15, $D$11, 100%, $F$11)</f>
        <v>8.4785000000000004</v>
      </c>
      <c r="J359" s="4">
        <f>CHOOSE( CONTROL!$C$32, 8.4121, 8.4071) * CHOOSE(CONTROL!$C$15, $D$11, 100%, $F$11)</f>
        <v>8.4121000000000006</v>
      </c>
      <c r="K359" s="4"/>
      <c r="L359" s="9">
        <v>29.520499999999998</v>
      </c>
      <c r="M359" s="9">
        <v>12.063700000000001</v>
      </c>
      <c r="N359" s="9">
        <v>4.9444999999999997</v>
      </c>
      <c r="O359" s="9">
        <v>0.37459999999999999</v>
      </c>
      <c r="P359" s="9">
        <v>1.2192000000000001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CONTROL!$C$32, 8.1068, 8.1015) * CHOOSE(CONTROL!$C$15, $D$11, 100%, $F$11)</f>
        <v>8.1067999999999998</v>
      </c>
      <c r="C360" s="8">
        <f>CHOOSE( CONTROL!$C$32, 8.1172, 8.1119) * CHOOSE(CONTROL!$C$15, $D$11, 100%, $F$11)</f>
        <v>8.1172000000000004</v>
      </c>
      <c r="D360" s="8">
        <f>CHOOSE( CONTROL!$C$32, 8.1281, 8.1229) * CHOOSE( CONTROL!$C$15, $D$11, 100%, $F$11)</f>
        <v>8.1280999999999999</v>
      </c>
      <c r="E360" s="12">
        <f>CHOOSE( CONTROL!$C$32, 8.1226, 8.1173) * CHOOSE( CONTROL!$C$15, $D$11, 100%, $F$11)</f>
        <v>8.1226000000000003</v>
      </c>
      <c r="F360" s="4">
        <f>CHOOSE( CONTROL!$C$32, 9.1422, 9.1369) * CHOOSE(CONTROL!$C$15, $D$11, 100%, $F$11)</f>
        <v>9.1422000000000008</v>
      </c>
      <c r="G360" s="8">
        <f>CHOOSE( CONTROL!$C$32, 7.8949, 7.8898) * CHOOSE( CONTROL!$C$15, $D$11, 100%, $F$11)</f>
        <v>7.8948999999999998</v>
      </c>
      <c r="H360" s="4">
        <f>CHOOSE( CONTROL!$C$32, 8.8353, 8.8302) * CHOOSE(CONTROL!$C$15, $D$11, 100%, $F$11)</f>
        <v>8.8353000000000002</v>
      </c>
      <c r="I360" s="8">
        <f>CHOOSE( CONTROL!$C$32, 7.8308, 7.8258) * CHOOSE(CONTROL!$C$15, $D$11, 100%, $F$11)</f>
        <v>7.8308</v>
      </c>
      <c r="J360" s="4">
        <f>CHOOSE( CONTROL!$C$32, 7.7631, 7.7581) * CHOOSE(CONTROL!$C$15, $D$11, 100%, $F$11)</f>
        <v>7.7630999999999997</v>
      </c>
      <c r="K360" s="4"/>
      <c r="L360" s="9">
        <v>29.520499999999998</v>
      </c>
      <c r="M360" s="9">
        <v>12.063700000000001</v>
      </c>
      <c r="N360" s="9">
        <v>4.9444999999999997</v>
      </c>
      <c r="O360" s="9">
        <v>0.37459999999999999</v>
      </c>
      <c r="P360" s="9">
        <v>1.2192000000000001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CONTROL!$C$32, 7.9372, 7.9319) * CHOOSE(CONTROL!$C$15, $D$11, 100%, $F$11)</f>
        <v>7.9371999999999998</v>
      </c>
      <c r="C361" s="8">
        <f>CHOOSE( CONTROL!$C$32, 7.9476, 7.9423) * CHOOSE(CONTROL!$C$15, $D$11, 100%, $F$11)</f>
        <v>7.9476000000000004</v>
      </c>
      <c r="D361" s="8">
        <f>CHOOSE( CONTROL!$C$32, 7.9587, 7.9534) * CHOOSE( CONTROL!$C$15, $D$11, 100%, $F$11)</f>
        <v>7.9587000000000003</v>
      </c>
      <c r="E361" s="12">
        <f>CHOOSE( CONTROL!$C$32, 7.9531, 7.9478) * CHOOSE( CONTROL!$C$15, $D$11, 100%, $F$11)</f>
        <v>7.9531000000000001</v>
      </c>
      <c r="F361" s="4">
        <f>CHOOSE( CONTROL!$C$32, 8.9726, 8.9673) * CHOOSE(CONTROL!$C$15, $D$11, 100%, $F$11)</f>
        <v>8.9725999999999999</v>
      </c>
      <c r="G361" s="8">
        <f>CHOOSE( CONTROL!$C$32, 7.7298, 7.7247) * CHOOSE( CONTROL!$C$15, $D$11, 100%, $F$11)</f>
        <v>7.7298</v>
      </c>
      <c r="H361" s="4">
        <f>CHOOSE( CONTROL!$C$32, 8.67, 8.6649) * CHOOSE(CONTROL!$C$15, $D$11, 100%, $F$11)</f>
        <v>8.67</v>
      </c>
      <c r="I361" s="8">
        <f>CHOOSE( CONTROL!$C$32, 7.6689, 7.6639) * CHOOSE(CONTROL!$C$15, $D$11, 100%, $F$11)</f>
        <v>7.6688999999999998</v>
      </c>
      <c r="J361" s="4">
        <f>CHOOSE( CONTROL!$C$32, 7.6006, 7.5956) * CHOOSE(CONTROL!$C$15, $D$11, 100%, $F$11)</f>
        <v>7.6006</v>
      </c>
      <c r="K361" s="4"/>
      <c r="L361" s="9">
        <v>28.568200000000001</v>
      </c>
      <c r="M361" s="9">
        <v>11.6745</v>
      </c>
      <c r="N361" s="9">
        <v>4.7850000000000001</v>
      </c>
      <c r="O361" s="9">
        <v>0.36249999999999999</v>
      </c>
      <c r="P361" s="9">
        <v>1.1798</v>
      </c>
      <c r="Q361" s="9">
        <v>19.8018</v>
      </c>
      <c r="R361" s="9"/>
      <c r="S361" s="11"/>
    </row>
    <row r="362" spans="1:19" ht="15.75">
      <c r="A362" s="13">
        <v>52901</v>
      </c>
      <c r="B362" s="8">
        <f>8.2841 * CHOOSE(CONTROL!$C$15, $D$11, 100%, $F$11)</f>
        <v>8.2841000000000005</v>
      </c>
      <c r="C362" s="8">
        <f>8.2945 * CHOOSE(CONTROL!$C$15, $D$11, 100%, $F$11)</f>
        <v>8.2944999999999993</v>
      </c>
      <c r="D362" s="8">
        <f>8.3069 * CHOOSE( CONTROL!$C$15, $D$11, 100%, $F$11)</f>
        <v>8.3069000000000006</v>
      </c>
      <c r="E362" s="12">
        <f>8.3017 * CHOOSE( CONTROL!$C$15, $D$11, 100%, $F$11)</f>
        <v>8.3017000000000003</v>
      </c>
      <c r="F362" s="4">
        <f>9.3195 * CHOOSE(CONTROL!$C$15, $D$11, 100%, $F$11)</f>
        <v>9.3194999999999997</v>
      </c>
      <c r="G362" s="8">
        <f>8.0673 * CHOOSE( CONTROL!$C$15, $D$11, 100%, $F$11)</f>
        <v>8.0672999999999995</v>
      </c>
      <c r="H362" s="4">
        <f>9.0081 * CHOOSE(CONTROL!$C$15, $D$11, 100%, $F$11)</f>
        <v>9.0081000000000007</v>
      </c>
      <c r="I362" s="8">
        <f>8.0029 * CHOOSE(CONTROL!$C$15, $D$11, 100%, $F$11)</f>
        <v>8.0029000000000003</v>
      </c>
      <c r="J362" s="4">
        <f>7.933 * CHOOSE(CONTROL!$C$15, $D$11, 100%, $F$11)</f>
        <v>7.9329999999999998</v>
      </c>
      <c r="K362" s="4"/>
      <c r="L362" s="9">
        <v>28.921800000000001</v>
      </c>
      <c r="M362" s="9">
        <v>12.063700000000001</v>
      </c>
      <c r="N362" s="9">
        <v>4.9444999999999997</v>
      </c>
      <c r="O362" s="9">
        <v>0.37459999999999999</v>
      </c>
      <c r="P362" s="9">
        <v>1.2192000000000001</v>
      </c>
      <c r="Q362" s="9">
        <v>20.4619</v>
      </c>
      <c r="R362" s="9"/>
      <c r="S362" s="11"/>
    </row>
    <row r="363" spans="1:19" ht="15.75">
      <c r="A363" s="13">
        <v>52931</v>
      </c>
      <c r="B363" s="8">
        <f>8.934 * CHOOSE(CONTROL!$C$15, $D$11, 100%, $F$11)</f>
        <v>8.9339999999999993</v>
      </c>
      <c r="C363" s="8">
        <f>8.9445 * CHOOSE(CONTROL!$C$15, $D$11, 100%, $F$11)</f>
        <v>8.9444999999999997</v>
      </c>
      <c r="D363" s="8">
        <f>8.9282 * CHOOSE( CONTROL!$C$15, $D$11, 100%, $F$11)</f>
        <v>8.9282000000000004</v>
      </c>
      <c r="E363" s="12">
        <f>8.933 * CHOOSE( CONTROL!$C$15, $D$11, 100%, $F$11)</f>
        <v>8.9329999999999998</v>
      </c>
      <c r="F363" s="4">
        <f>9.9282 * CHOOSE(CONTROL!$C$15, $D$11, 100%, $F$11)</f>
        <v>9.9282000000000004</v>
      </c>
      <c r="G363" s="8">
        <f>8.7219 * CHOOSE( CONTROL!$C$15, $D$11, 100%, $F$11)</f>
        <v>8.7218999999999998</v>
      </c>
      <c r="H363" s="4">
        <f>9.6015 * CHOOSE(CONTROL!$C$15, $D$11, 100%, $F$11)</f>
        <v>9.6014999999999997</v>
      </c>
      <c r="I363" s="8">
        <f>8.6628 * CHOOSE(CONTROL!$C$15, $D$11, 100%, $F$11)</f>
        <v>8.6628000000000007</v>
      </c>
      <c r="J363" s="4">
        <f>8.5558 * CHOOSE(CONTROL!$C$15, $D$11, 100%, $F$11)</f>
        <v>8.5557999999999996</v>
      </c>
      <c r="K363" s="4"/>
      <c r="L363" s="9">
        <v>26.515499999999999</v>
      </c>
      <c r="M363" s="9">
        <v>11.6745</v>
      </c>
      <c r="N363" s="9">
        <v>4.7850000000000001</v>
      </c>
      <c r="O363" s="9">
        <v>0.36249999999999999</v>
      </c>
      <c r="P363" s="9">
        <v>1.2522</v>
      </c>
      <c r="Q363" s="9">
        <v>19.8018</v>
      </c>
      <c r="R363" s="9"/>
      <c r="S363" s="11"/>
    </row>
    <row r="364" spans="1:19" ht="15.75">
      <c r="A364" s="13">
        <v>52962</v>
      </c>
      <c r="B364" s="8">
        <f>8.9178 * CHOOSE(CONTROL!$C$15, $D$11, 100%, $F$11)</f>
        <v>8.9177999999999997</v>
      </c>
      <c r="C364" s="8">
        <f>8.9282 * CHOOSE(CONTROL!$C$15, $D$11, 100%, $F$11)</f>
        <v>8.9282000000000004</v>
      </c>
      <c r="D364" s="8">
        <f>8.9143 * CHOOSE( CONTROL!$C$15, $D$11, 100%, $F$11)</f>
        <v>8.9143000000000008</v>
      </c>
      <c r="E364" s="12">
        <f>8.9183 * CHOOSE( CONTROL!$C$15, $D$11, 100%, $F$11)</f>
        <v>8.9183000000000003</v>
      </c>
      <c r="F364" s="4">
        <f>9.912 * CHOOSE(CONTROL!$C$15, $D$11, 100%, $F$11)</f>
        <v>9.9120000000000008</v>
      </c>
      <c r="G364" s="8">
        <f>8.7078 * CHOOSE( CONTROL!$C$15, $D$11, 100%, $F$11)</f>
        <v>8.7078000000000007</v>
      </c>
      <c r="H364" s="4">
        <f>9.5857 * CHOOSE(CONTROL!$C$15, $D$11, 100%, $F$11)</f>
        <v>9.5856999999999992</v>
      </c>
      <c r="I364" s="8">
        <f>8.6549 * CHOOSE(CONTROL!$C$15, $D$11, 100%, $F$11)</f>
        <v>8.6548999999999996</v>
      </c>
      <c r="J364" s="4">
        <f>8.5403 * CHOOSE(CONTROL!$C$15, $D$11, 100%, $F$11)</f>
        <v>8.5403000000000002</v>
      </c>
      <c r="K364" s="4"/>
      <c r="L364" s="9">
        <v>27.3993</v>
      </c>
      <c r="M364" s="9">
        <v>12.063700000000001</v>
      </c>
      <c r="N364" s="9">
        <v>4.9444999999999997</v>
      </c>
      <c r="O364" s="9">
        <v>0.37459999999999999</v>
      </c>
      <c r="P364" s="9">
        <v>1.2939000000000001</v>
      </c>
      <c r="Q364" s="9">
        <v>20.4619</v>
      </c>
      <c r="R364" s="9"/>
      <c r="S364" s="11"/>
    </row>
    <row r="365" spans="1:19" ht="15.75">
      <c r="A365" s="13">
        <v>52993</v>
      </c>
      <c r="B365" s="8">
        <f>9.2584 * CHOOSE(CONTROL!$C$15, $D$11, 100%, $F$11)</f>
        <v>9.2584</v>
      </c>
      <c r="C365" s="8">
        <f>9.2689 * CHOOSE(CONTROL!$C$15, $D$11, 100%, $F$11)</f>
        <v>9.2689000000000004</v>
      </c>
      <c r="D365" s="8">
        <f>9.2682 * CHOOSE( CONTROL!$C$15, $D$11, 100%, $F$11)</f>
        <v>9.2682000000000002</v>
      </c>
      <c r="E365" s="12">
        <f>9.2673 * CHOOSE( CONTROL!$C$15, $D$11, 100%, $F$11)</f>
        <v>9.2673000000000005</v>
      </c>
      <c r="F365" s="4">
        <f>10.2814 * CHOOSE(CONTROL!$C$15, $D$11, 100%, $F$11)</f>
        <v>10.2814</v>
      </c>
      <c r="G365" s="8">
        <f>9.0534 * CHOOSE( CONTROL!$C$15, $D$11, 100%, $F$11)</f>
        <v>9.0533999999999999</v>
      </c>
      <c r="H365" s="4">
        <f>9.9457 * CHOOSE(CONTROL!$C$15, $D$11, 100%, $F$11)</f>
        <v>9.9457000000000004</v>
      </c>
      <c r="I365" s="8">
        <f>8.9797 * CHOOSE(CONTROL!$C$15, $D$11, 100%, $F$11)</f>
        <v>8.9796999999999993</v>
      </c>
      <c r="J365" s="4">
        <f>8.8667 * CHOOSE(CONTROL!$C$15, $D$11, 100%, $F$11)</f>
        <v>8.8666999999999998</v>
      </c>
      <c r="K365" s="4"/>
      <c r="L365" s="9">
        <v>27.3993</v>
      </c>
      <c r="M365" s="9">
        <v>12.063700000000001</v>
      </c>
      <c r="N365" s="9">
        <v>4.9444999999999997</v>
      </c>
      <c r="O365" s="9">
        <v>0.37459999999999999</v>
      </c>
      <c r="P365" s="9">
        <v>1.2939000000000001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8.6602 * CHOOSE(CONTROL!$C$15, $D$11, 100%, $F$11)</f>
        <v>8.6601999999999997</v>
      </c>
      <c r="C366" s="8">
        <f>8.6707 * CHOOSE(CONTROL!$C$15, $D$11, 100%, $F$11)</f>
        <v>8.6707000000000001</v>
      </c>
      <c r="D366" s="8">
        <f>8.6722 * CHOOSE( CONTROL!$C$15, $D$11, 100%, $F$11)</f>
        <v>8.6722000000000001</v>
      </c>
      <c r="E366" s="12">
        <f>8.6705 * CHOOSE( CONTROL!$C$15, $D$11, 100%, $F$11)</f>
        <v>8.6705000000000005</v>
      </c>
      <c r="F366" s="4">
        <f>9.6753 * CHOOSE(CONTROL!$C$15, $D$11, 100%, $F$11)</f>
        <v>9.6753</v>
      </c>
      <c r="G366" s="8">
        <f>8.4701 * CHOOSE( CONTROL!$C$15, $D$11, 100%, $F$11)</f>
        <v>8.4701000000000004</v>
      </c>
      <c r="H366" s="4">
        <f>9.355 * CHOOSE(CONTROL!$C$15, $D$11, 100%, $F$11)</f>
        <v>9.3550000000000004</v>
      </c>
      <c r="I366" s="8">
        <f>8.3953 * CHOOSE(CONTROL!$C$15, $D$11, 100%, $F$11)</f>
        <v>8.3953000000000007</v>
      </c>
      <c r="J366" s="4">
        <f>8.2935 * CHOOSE(CONTROL!$C$15, $D$11, 100%, $F$11)</f>
        <v>8.2934999999999999</v>
      </c>
      <c r="K366" s="4"/>
      <c r="L366" s="9">
        <v>24.747800000000002</v>
      </c>
      <c r="M366" s="9">
        <v>10.8962</v>
      </c>
      <c r="N366" s="9">
        <v>4.4660000000000002</v>
      </c>
      <c r="O366" s="9">
        <v>0.33829999999999999</v>
      </c>
      <c r="P366" s="9">
        <v>1.1687000000000001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8.476 * CHOOSE(CONTROL!$C$15, $D$11, 100%, $F$11)</f>
        <v>8.4760000000000009</v>
      </c>
      <c r="C367" s="8">
        <f>8.4864 * CHOOSE(CONTROL!$C$15, $D$11, 100%, $F$11)</f>
        <v>8.4863999999999997</v>
      </c>
      <c r="D367" s="8">
        <f>8.4674 * CHOOSE( CONTROL!$C$15, $D$11, 100%, $F$11)</f>
        <v>8.4673999999999996</v>
      </c>
      <c r="E367" s="12">
        <f>8.4732 * CHOOSE( CONTROL!$C$15, $D$11, 100%, $F$11)</f>
        <v>8.4732000000000003</v>
      </c>
      <c r="F367" s="4">
        <f>9.4749 * CHOOSE(CONTROL!$C$15, $D$11, 100%, $F$11)</f>
        <v>9.4748999999999999</v>
      </c>
      <c r="G367" s="8">
        <f>8.2698 * CHOOSE( CONTROL!$C$15, $D$11, 100%, $F$11)</f>
        <v>8.2698</v>
      </c>
      <c r="H367" s="4">
        <f>9.1596 * CHOOSE(CONTROL!$C$15, $D$11, 100%, $F$11)</f>
        <v>9.1595999999999993</v>
      </c>
      <c r="I367" s="8">
        <f>8.1791 * CHOOSE(CONTROL!$C$15, $D$11, 100%, $F$11)</f>
        <v>8.1791</v>
      </c>
      <c r="J367" s="4">
        <f>8.1169 * CHOOSE(CONTROL!$C$15, $D$11, 100%, $F$11)</f>
        <v>8.1168999999999993</v>
      </c>
      <c r="K367" s="4"/>
      <c r="L367" s="9">
        <v>27.3993</v>
      </c>
      <c r="M367" s="9">
        <v>12.063700000000001</v>
      </c>
      <c r="N367" s="9">
        <v>4.9444999999999997</v>
      </c>
      <c r="O367" s="9">
        <v>0.37459999999999999</v>
      </c>
      <c r="P367" s="9">
        <v>1.2939000000000001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8.6047 * CHOOSE(CONTROL!$C$15, $D$11, 100%, $F$11)</f>
        <v>8.6046999999999993</v>
      </c>
      <c r="C368" s="8">
        <f>8.6152 * CHOOSE(CONTROL!$C$15, $D$11, 100%, $F$11)</f>
        <v>8.6151999999999997</v>
      </c>
      <c r="D368" s="8">
        <f>8.6192 * CHOOSE( CONTROL!$C$15, $D$11, 100%, $F$11)</f>
        <v>8.6191999999999993</v>
      </c>
      <c r="E368" s="12">
        <f>8.6167 * CHOOSE( CONTROL!$C$15, $D$11, 100%, $F$11)</f>
        <v>8.6166999999999998</v>
      </c>
      <c r="F368" s="4">
        <f>9.612 * CHOOSE(CONTROL!$C$15, $D$11, 100%, $F$11)</f>
        <v>9.6120000000000001</v>
      </c>
      <c r="G368" s="8">
        <f>8.3836 * CHOOSE( CONTROL!$C$15, $D$11, 100%, $F$11)</f>
        <v>8.3835999999999995</v>
      </c>
      <c r="H368" s="4">
        <f>9.2932 * CHOOSE(CONTROL!$C$15, $D$11, 100%, $F$11)</f>
        <v>9.2932000000000006</v>
      </c>
      <c r="I368" s="8">
        <f>8.2926 * CHOOSE(CONTROL!$C$15, $D$11, 100%, $F$11)</f>
        <v>8.2926000000000002</v>
      </c>
      <c r="J368" s="4">
        <f>8.2403 * CHOOSE(CONTROL!$C$15, $D$11, 100%, $F$11)</f>
        <v>8.2402999999999995</v>
      </c>
      <c r="K368" s="4"/>
      <c r="L368" s="9">
        <v>27.988800000000001</v>
      </c>
      <c r="M368" s="9">
        <v>11.6745</v>
      </c>
      <c r="N368" s="9">
        <v>4.7850000000000001</v>
      </c>
      <c r="O368" s="9">
        <v>0.36249999999999999</v>
      </c>
      <c r="P368" s="9">
        <v>1.1798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CONTROL!$C$32, 8.8391, 8.8339) * CHOOSE(CONTROL!$C$15, $D$11, 100%, $F$11)</f>
        <v>8.8391000000000002</v>
      </c>
      <c r="C369" s="8">
        <f>CHOOSE( CONTROL!$C$32, 8.8496, 8.8443) * CHOOSE(CONTROL!$C$15, $D$11, 100%, $F$11)</f>
        <v>8.8496000000000006</v>
      </c>
      <c r="D369" s="8">
        <f>CHOOSE( CONTROL!$C$32, 8.8624, 8.8571) * CHOOSE( CONTROL!$C$15, $D$11, 100%, $F$11)</f>
        <v>8.8623999999999992</v>
      </c>
      <c r="E369" s="12">
        <f>CHOOSE( CONTROL!$C$32, 8.8562, 8.8509) * CHOOSE( CONTROL!$C$15, $D$11, 100%, $F$11)</f>
        <v>8.8561999999999994</v>
      </c>
      <c r="F369" s="4">
        <f>CHOOSE( CONTROL!$C$32, 9.862, 9.8568) * CHOOSE(CONTROL!$C$15, $D$11, 100%, $F$11)</f>
        <v>9.8620000000000001</v>
      </c>
      <c r="G369" s="8">
        <f>CHOOSE( CONTROL!$C$32, 8.6177, 8.6126) * CHOOSE( CONTROL!$C$15, $D$11, 100%, $F$11)</f>
        <v>8.6176999999999992</v>
      </c>
      <c r="H369" s="4">
        <f>CHOOSE( CONTROL!$C$32, 9.537, 9.5319) * CHOOSE(CONTROL!$C$15, $D$11, 100%, $F$11)</f>
        <v>9.5370000000000008</v>
      </c>
      <c r="I369" s="8">
        <f>CHOOSE( CONTROL!$C$32, 8.5227, 8.5176) * CHOOSE(CONTROL!$C$15, $D$11, 100%, $F$11)</f>
        <v>8.5227000000000004</v>
      </c>
      <c r="J369" s="4">
        <f>CHOOSE( CONTROL!$C$32, 8.4649, 8.4599) * CHOOSE(CONTROL!$C$15, $D$11, 100%, $F$11)</f>
        <v>8.4649000000000001</v>
      </c>
      <c r="K369" s="4"/>
      <c r="L369" s="9">
        <v>29.520499999999998</v>
      </c>
      <c r="M369" s="9">
        <v>12.063700000000001</v>
      </c>
      <c r="N369" s="9">
        <v>4.9444999999999997</v>
      </c>
      <c r="O369" s="9">
        <v>0.37459999999999999</v>
      </c>
      <c r="P369" s="9">
        <v>1.2192000000000001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CONTROL!$C$32, 8.6972, 8.6919) * CHOOSE(CONTROL!$C$15, $D$11, 100%, $F$11)</f>
        <v>8.6972000000000005</v>
      </c>
      <c r="C370" s="8">
        <f>CHOOSE( CONTROL!$C$32, 8.7076, 8.7024) * CHOOSE(CONTROL!$C$15, $D$11, 100%, $F$11)</f>
        <v>8.7075999999999993</v>
      </c>
      <c r="D370" s="8">
        <f>CHOOSE( CONTROL!$C$32, 8.728, 8.7228) * CHOOSE( CONTROL!$C$15, $D$11, 100%, $F$11)</f>
        <v>8.7279999999999998</v>
      </c>
      <c r="E370" s="12">
        <f>CHOOSE( CONTROL!$C$32, 8.719, 8.7138) * CHOOSE( CONTROL!$C$15, $D$11, 100%, $F$11)</f>
        <v>8.7189999999999994</v>
      </c>
      <c r="F370" s="4">
        <f>CHOOSE( CONTROL!$C$32, 9.7326, 9.7274) * CHOOSE(CONTROL!$C$15, $D$11, 100%, $F$11)</f>
        <v>9.7325999999999997</v>
      </c>
      <c r="G370" s="8">
        <f>CHOOSE( CONTROL!$C$32, 8.4832, 8.4781) * CHOOSE( CONTROL!$C$15, $D$11, 100%, $F$11)</f>
        <v>8.4832000000000001</v>
      </c>
      <c r="H370" s="4">
        <f>CHOOSE( CONTROL!$C$32, 9.4108, 9.4057) * CHOOSE(CONTROL!$C$15, $D$11, 100%, $F$11)</f>
        <v>9.4108000000000001</v>
      </c>
      <c r="I370" s="8">
        <f>CHOOSE( CONTROL!$C$32, 8.3918, 8.3868) * CHOOSE(CONTROL!$C$15, $D$11, 100%, $F$11)</f>
        <v>8.3917999999999999</v>
      </c>
      <c r="J370" s="4">
        <f>CHOOSE( CONTROL!$C$32, 8.3289, 8.3238) * CHOOSE(CONTROL!$C$15, $D$11, 100%, $F$11)</f>
        <v>8.3289000000000009</v>
      </c>
      <c r="K370" s="4"/>
      <c r="L370" s="9">
        <v>28.568200000000001</v>
      </c>
      <c r="M370" s="9">
        <v>11.6745</v>
      </c>
      <c r="N370" s="9">
        <v>4.7850000000000001</v>
      </c>
      <c r="O370" s="9">
        <v>0.36249999999999999</v>
      </c>
      <c r="P370" s="9">
        <v>1.1798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CONTROL!$C$32, 9.071, 9.0657) * CHOOSE(CONTROL!$C$15, $D$11, 100%, $F$11)</f>
        <v>9.0709999999999997</v>
      </c>
      <c r="C371" s="8">
        <f>CHOOSE( CONTROL!$C$32, 9.0814, 9.0762) * CHOOSE(CONTROL!$C$15, $D$11, 100%, $F$11)</f>
        <v>9.0814000000000004</v>
      </c>
      <c r="D371" s="8">
        <f>CHOOSE( CONTROL!$C$32, 9.092, 9.0868) * CHOOSE( CONTROL!$C$15, $D$11, 100%, $F$11)</f>
        <v>9.0920000000000005</v>
      </c>
      <c r="E371" s="12">
        <f>CHOOSE( CONTROL!$C$32, 9.0866, 9.0814) * CHOOSE( CONTROL!$C$15, $D$11, 100%, $F$11)</f>
        <v>9.0866000000000007</v>
      </c>
      <c r="F371" s="4">
        <f>CHOOSE( CONTROL!$C$32, 10.1064, 10.1012) * CHOOSE(CONTROL!$C$15, $D$11, 100%, $F$11)</f>
        <v>10.106400000000001</v>
      </c>
      <c r="G371" s="8">
        <f>CHOOSE( CONTROL!$C$32, 8.8343, 8.8292) * CHOOSE( CONTROL!$C$15, $D$11, 100%, $F$11)</f>
        <v>8.8343000000000007</v>
      </c>
      <c r="H371" s="4">
        <f>CHOOSE( CONTROL!$C$32, 9.7752, 9.7701) * CHOOSE(CONTROL!$C$15, $D$11, 100%, $F$11)</f>
        <v>9.7751999999999999</v>
      </c>
      <c r="I371" s="8">
        <f>CHOOSE( CONTROL!$C$32, 8.7536, 8.7485) * CHOOSE(CONTROL!$C$15, $D$11, 100%, $F$11)</f>
        <v>8.7536000000000005</v>
      </c>
      <c r="J371" s="4">
        <f>CHOOSE( CONTROL!$C$32, 8.6871, 8.682) * CHOOSE(CONTROL!$C$15, $D$11, 100%, $F$11)</f>
        <v>8.6870999999999992</v>
      </c>
      <c r="K371" s="4"/>
      <c r="L371" s="9">
        <v>29.520499999999998</v>
      </c>
      <c r="M371" s="9">
        <v>12.063700000000001</v>
      </c>
      <c r="N371" s="9">
        <v>4.9444999999999997</v>
      </c>
      <c r="O371" s="9">
        <v>0.37459999999999999</v>
      </c>
      <c r="P371" s="9">
        <v>1.2192000000000001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CONTROL!$C$32, 8.3716, 8.3663) * CHOOSE(CONTROL!$C$15, $D$11, 100%, $F$11)</f>
        <v>8.3716000000000008</v>
      </c>
      <c r="C372" s="8">
        <f>CHOOSE( CONTROL!$C$32, 8.382, 8.3767) * CHOOSE(CONTROL!$C$15, $D$11, 100%, $F$11)</f>
        <v>8.3819999999999997</v>
      </c>
      <c r="D372" s="8">
        <f>CHOOSE( CONTROL!$C$32, 8.3929, 8.3877) * CHOOSE( CONTROL!$C$15, $D$11, 100%, $F$11)</f>
        <v>8.3928999999999991</v>
      </c>
      <c r="E372" s="12">
        <f>CHOOSE( CONTROL!$C$32, 8.3874, 8.3821) * CHOOSE( CONTROL!$C$15, $D$11, 100%, $F$11)</f>
        <v>8.3873999999999995</v>
      </c>
      <c r="F372" s="4">
        <f>CHOOSE( CONTROL!$C$32, 9.407, 9.4017) * CHOOSE(CONTROL!$C$15, $D$11, 100%, $F$11)</f>
        <v>9.407</v>
      </c>
      <c r="G372" s="8">
        <f>CHOOSE( CONTROL!$C$32, 8.153, 8.1479) * CHOOSE( CONTROL!$C$15, $D$11, 100%, $F$11)</f>
        <v>8.1530000000000005</v>
      </c>
      <c r="H372" s="4">
        <f>CHOOSE( CONTROL!$C$32, 9.0934, 9.0883) * CHOOSE(CONTROL!$C$15, $D$11, 100%, $F$11)</f>
        <v>9.0934000000000008</v>
      </c>
      <c r="I372" s="8">
        <f>CHOOSE( CONTROL!$C$32, 8.0846, 8.0796) * CHOOSE(CONTROL!$C$15, $D$11, 100%, $F$11)</f>
        <v>8.0846</v>
      </c>
      <c r="J372" s="4">
        <f>CHOOSE( CONTROL!$C$32, 8.0169, 8.0118) * CHOOSE(CONTROL!$C$15, $D$11, 100%, $F$11)</f>
        <v>8.0168999999999997</v>
      </c>
      <c r="K372" s="4"/>
      <c r="L372" s="9">
        <v>29.520499999999998</v>
      </c>
      <c r="M372" s="9">
        <v>12.063700000000001</v>
      </c>
      <c r="N372" s="9">
        <v>4.9444999999999997</v>
      </c>
      <c r="O372" s="9">
        <v>0.37459999999999999</v>
      </c>
      <c r="P372" s="9">
        <v>1.2192000000000001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CONTROL!$C$32, 8.1964, 8.1912) * CHOOSE(CONTROL!$C$15, $D$11, 100%, $F$11)</f>
        <v>8.1964000000000006</v>
      </c>
      <c r="C373" s="8">
        <f>CHOOSE( CONTROL!$C$32, 8.2068, 8.2016) * CHOOSE(CONTROL!$C$15, $D$11, 100%, $F$11)</f>
        <v>8.2067999999999994</v>
      </c>
      <c r="D373" s="8">
        <f>CHOOSE( CONTROL!$C$32, 8.2179, 8.2127) * CHOOSE( CONTROL!$C$15, $D$11, 100%, $F$11)</f>
        <v>8.2179000000000002</v>
      </c>
      <c r="E373" s="12">
        <f>CHOOSE( CONTROL!$C$32, 8.2123, 8.2071) * CHOOSE( CONTROL!$C$15, $D$11, 100%, $F$11)</f>
        <v>8.2123000000000008</v>
      </c>
      <c r="F373" s="4">
        <f>CHOOSE( CONTROL!$C$32, 9.2318, 9.2266) * CHOOSE(CONTROL!$C$15, $D$11, 100%, $F$11)</f>
        <v>9.2317999999999998</v>
      </c>
      <c r="G373" s="8">
        <f>CHOOSE( CONTROL!$C$32, 7.9825, 7.9774) * CHOOSE( CONTROL!$C$15, $D$11, 100%, $F$11)</f>
        <v>7.9824999999999999</v>
      </c>
      <c r="H373" s="4">
        <f>CHOOSE( CONTROL!$C$32, 8.9227, 8.9176) * CHOOSE(CONTROL!$C$15, $D$11, 100%, $F$11)</f>
        <v>8.9227000000000007</v>
      </c>
      <c r="I373" s="8">
        <f>CHOOSE( CONTROL!$C$32, 7.9174, 7.9124) * CHOOSE(CONTROL!$C$15, $D$11, 100%, $F$11)</f>
        <v>7.9173999999999998</v>
      </c>
      <c r="J373" s="4">
        <f>CHOOSE( CONTROL!$C$32, 7.849, 7.844) * CHOOSE(CONTROL!$C$15, $D$11, 100%, $F$11)</f>
        <v>7.8490000000000002</v>
      </c>
      <c r="K373" s="4"/>
      <c r="L373" s="9">
        <v>28.568200000000001</v>
      </c>
      <c r="M373" s="9">
        <v>11.6745</v>
      </c>
      <c r="N373" s="9">
        <v>4.7850000000000001</v>
      </c>
      <c r="O373" s="9">
        <v>0.36249999999999999</v>
      </c>
      <c r="P373" s="9">
        <v>1.1798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8.5548 * CHOOSE(CONTROL!$C$15, $D$11, 100%, $F$11)</f>
        <v>8.5548000000000002</v>
      </c>
      <c r="C374" s="8">
        <f>8.5652 * CHOOSE(CONTROL!$C$15, $D$11, 100%, $F$11)</f>
        <v>8.5652000000000008</v>
      </c>
      <c r="D374" s="8">
        <f>8.5776 * CHOOSE( CONTROL!$C$15, $D$11, 100%, $F$11)</f>
        <v>8.5776000000000003</v>
      </c>
      <c r="E374" s="12">
        <f>8.5724 * CHOOSE( CONTROL!$C$15, $D$11, 100%, $F$11)</f>
        <v>8.5724</v>
      </c>
      <c r="F374" s="4">
        <f>9.5902 * CHOOSE(CONTROL!$C$15, $D$11, 100%, $F$11)</f>
        <v>9.5901999999999994</v>
      </c>
      <c r="G374" s="8">
        <f>8.3313 * CHOOSE( CONTROL!$C$15, $D$11, 100%, $F$11)</f>
        <v>8.3313000000000006</v>
      </c>
      <c r="H374" s="4">
        <f>9.2721 * CHOOSE(CONTROL!$C$15, $D$11, 100%, $F$11)</f>
        <v>9.2721</v>
      </c>
      <c r="I374" s="8">
        <f>8.2624 * CHOOSE(CONTROL!$C$15, $D$11, 100%, $F$11)</f>
        <v>8.2623999999999995</v>
      </c>
      <c r="J374" s="4">
        <f>8.1925 * CHOOSE(CONTROL!$C$15, $D$11, 100%, $F$11)</f>
        <v>8.1925000000000008</v>
      </c>
      <c r="K374" s="4"/>
      <c r="L374" s="9">
        <v>28.921800000000001</v>
      </c>
      <c r="M374" s="9">
        <v>12.063700000000001</v>
      </c>
      <c r="N374" s="9">
        <v>4.9444999999999997</v>
      </c>
      <c r="O374" s="9">
        <v>0.37459999999999999</v>
      </c>
      <c r="P374" s="9">
        <v>1.2192000000000001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9.2261 * CHOOSE(CONTROL!$C$15, $D$11, 100%, $F$11)</f>
        <v>9.2261000000000006</v>
      </c>
      <c r="C375" s="8">
        <f>9.2365 * CHOOSE(CONTROL!$C$15, $D$11, 100%, $F$11)</f>
        <v>9.2364999999999995</v>
      </c>
      <c r="D375" s="8">
        <f>9.2202 * CHOOSE( CONTROL!$C$15, $D$11, 100%, $F$11)</f>
        <v>9.2202000000000002</v>
      </c>
      <c r="E375" s="12">
        <f>9.2251 * CHOOSE( CONTROL!$C$15, $D$11, 100%, $F$11)</f>
        <v>9.2250999999999994</v>
      </c>
      <c r="F375" s="4">
        <f>10.2203 * CHOOSE(CONTROL!$C$15, $D$11, 100%, $F$11)</f>
        <v>10.2203</v>
      </c>
      <c r="G375" s="8">
        <f>9.0065 * CHOOSE( CONTROL!$C$15, $D$11, 100%, $F$11)</f>
        <v>9.0065000000000008</v>
      </c>
      <c r="H375" s="4">
        <f>9.8862 * CHOOSE(CONTROL!$C$15, $D$11, 100%, $F$11)</f>
        <v>9.8862000000000005</v>
      </c>
      <c r="I375" s="8">
        <f>8.9428 * CHOOSE(CONTROL!$C$15, $D$11, 100%, $F$11)</f>
        <v>8.9428000000000001</v>
      </c>
      <c r="J375" s="4">
        <f>8.8356 * CHOOSE(CONTROL!$C$15, $D$11, 100%, $F$11)</f>
        <v>8.8355999999999995</v>
      </c>
      <c r="K375" s="4"/>
      <c r="L375" s="9">
        <v>26.515499999999999</v>
      </c>
      <c r="M375" s="9">
        <v>11.6745</v>
      </c>
      <c r="N375" s="9">
        <v>4.7850000000000001</v>
      </c>
      <c r="O375" s="9">
        <v>0.36249999999999999</v>
      </c>
      <c r="P375" s="9">
        <v>1.2522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9.2093 * CHOOSE(CONTROL!$C$15, $D$11, 100%, $F$11)</f>
        <v>9.2093000000000007</v>
      </c>
      <c r="C376" s="8">
        <f>9.2197 * CHOOSE(CONTROL!$C$15, $D$11, 100%, $F$11)</f>
        <v>9.2196999999999996</v>
      </c>
      <c r="D376" s="8">
        <f>9.2058 * CHOOSE( CONTROL!$C$15, $D$11, 100%, $F$11)</f>
        <v>9.2058</v>
      </c>
      <c r="E376" s="12">
        <f>9.2098 * CHOOSE( CONTROL!$C$15, $D$11, 100%, $F$11)</f>
        <v>9.2097999999999995</v>
      </c>
      <c r="F376" s="4">
        <f>10.2035 * CHOOSE(CONTROL!$C$15, $D$11, 100%, $F$11)</f>
        <v>10.2035</v>
      </c>
      <c r="G376" s="8">
        <f>8.9919 * CHOOSE( CONTROL!$C$15, $D$11, 100%, $F$11)</f>
        <v>8.9918999999999993</v>
      </c>
      <c r="H376" s="4">
        <f>9.8698 * CHOOSE(CONTROL!$C$15, $D$11, 100%, $F$11)</f>
        <v>9.8697999999999997</v>
      </c>
      <c r="I376" s="8">
        <f>8.9343 * CHOOSE(CONTROL!$C$15, $D$11, 100%, $F$11)</f>
        <v>8.9343000000000004</v>
      </c>
      <c r="J376" s="4">
        <f>8.8196 * CHOOSE(CONTROL!$C$15, $D$11, 100%, $F$11)</f>
        <v>8.8195999999999994</v>
      </c>
      <c r="K376" s="4"/>
      <c r="L376" s="9">
        <v>27.3993</v>
      </c>
      <c r="M376" s="9">
        <v>12.063700000000001</v>
      </c>
      <c r="N376" s="9">
        <v>4.9444999999999997</v>
      </c>
      <c r="O376" s="9">
        <v>0.37459999999999999</v>
      </c>
      <c r="P376" s="9">
        <v>1.2939000000000001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9.5611 * CHOOSE(CONTROL!$C$15, $D$11, 100%, $F$11)</f>
        <v>9.5610999999999997</v>
      </c>
      <c r="C377" s="8">
        <f>9.5715 * CHOOSE(CONTROL!$C$15, $D$11, 100%, $F$11)</f>
        <v>9.5715000000000003</v>
      </c>
      <c r="D377" s="8">
        <f>9.5708 * CHOOSE( CONTROL!$C$15, $D$11, 100%, $F$11)</f>
        <v>9.5708000000000002</v>
      </c>
      <c r="E377" s="12">
        <f>9.5699 * CHOOSE( CONTROL!$C$15, $D$11, 100%, $F$11)</f>
        <v>9.5699000000000005</v>
      </c>
      <c r="F377" s="4">
        <f>10.584 * CHOOSE(CONTROL!$C$15, $D$11, 100%, $F$11)</f>
        <v>10.584</v>
      </c>
      <c r="G377" s="8">
        <f>9.3484 * CHOOSE( CONTROL!$C$15, $D$11, 100%, $F$11)</f>
        <v>9.3483999999999998</v>
      </c>
      <c r="H377" s="4">
        <f>10.2407 * CHOOSE(CONTROL!$C$15, $D$11, 100%, $F$11)</f>
        <v>10.2407</v>
      </c>
      <c r="I377" s="8">
        <f>9.2698 * CHOOSE(CONTROL!$C$15, $D$11, 100%, $F$11)</f>
        <v>9.2698</v>
      </c>
      <c r="J377" s="4">
        <f>9.1567 * CHOOSE(CONTROL!$C$15, $D$11, 100%, $F$11)</f>
        <v>9.1567000000000007</v>
      </c>
      <c r="K377" s="4"/>
      <c r="L377" s="9">
        <v>27.3993</v>
      </c>
      <c r="M377" s="9">
        <v>12.063700000000001</v>
      </c>
      <c r="N377" s="9">
        <v>4.9444999999999997</v>
      </c>
      <c r="O377" s="9">
        <v>0.37459999999999999</v>
      </c>
      <c r="P377" s="9">
        <v>1.2939000000000001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8.9433 * CHOOSE(CONTROL!$C$15, $D$11, 100%, $F$11)</f>
        <v>8.9433000000000007</v>
      </c>
      <c r="C378" s="8">
        <f>8.9537 * CHOOSE(CONTROL!$C$15, $D$11, 100%, $F$11)</f>
        <v>8.9536999999999995</v>
      </c>
      <c r="D378" s="8">
        <f>8.9552 * CHOOSE( CONTROL!$C$15, $D$11, 100%, $F$11)</f>
        <v>8.9551999999999996</v>
      </c>
      <c r="E378" s="12">
        <f>8.9535 * CHOOSE( CONTROL!$C$15, $D$11, 100%, $F$11)</f>
        <v>8.9535</v>
      </c>
      <c r="F378" s="4">
        <f>9.9584 * CHOOSE(CONTROL!$C$15, $D$11, 100%, $F$11)</f>
        <v>9.9583999999999993</v>
      </c>
      <c r="G378" s="8">
        <f>8.746 * CHOOSE( CONTROL!$C$15, $D$11, 100%, $F$11)</f>
        <v>8.7460000000000004</v>
      </c>
      <c r="H378" s="4">
        <f>9.6309 * CHOOSE(CONTROL!$C$15, $D$11, 100%, $F$11)</f>
        <v>9.6309000000000005</v>
      </c>
      <c r="I378" s="8">
        <f>8.6666 * CHOOSE(CONTROL!$C$15, $D$11, 100%, $F$11)</f>
        <v>8.6666000000000007</v>
      </c>
      <c r="J378" s="4">
        <f>8.5647 * CHOOSE(CONTROL!$C$15, $D$11, 100%, $F$11)</f>
        <v>8.5647000000000002</v>
      </c>
      <c r="K378" s="4"/>
      <c r="L378" s="9">
        <v>24.747800000000002</v>
      </c>
      <c r="M378" s="9">
        <v>10.8962</v>
      </c>
      <c r="N378" s="9">
        <v>4.4660000000000002</v>
      </c>
      <c r="O378" s="9">
        <v>0.33829999999999999</v>
      </c>
      <c r="P378" s="9">
        <v>1.1687000000000001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8.753 * CHOOSE(CONTROL!$C$15, $D$11, 100%, $F$11)</f>
        <v>8.7530000000000001</v>
      </c>
      <c r="C379" s="8">
        <f>8.7634 * CHOOSE(CONTROL!$C$15, $D$11, 100%, $F$11)</f>
        <v>8.7634000000000007</v>
      </c>
      <c r="D379" s="8">
        <f>8.7445 * CHOOSE( CONTROL!$C$15, $D$11, 100%, $F$11)</f>
        <v>8.7445000000000004</v>
      </c>
      <c r="E379" s="12">
        <f>8.7503 * CHOOSE( CONTROL!$C$15, $D$11, 100%, $F$11)</f>
        <v>8.7502999999999993</v>
      </c>
      <c r="F379" s="4">
        <f>9.7519 * CHOOSE(CONTROL!$C$15, $D$11, 100%, $F$11)</f>
        <v>9.7518999999999991</v>
      </c>
      <c r="G379" s="8">
        <f>8.5398 * CHOOSE( CONTROL!$C$15, $D$11, 100%, $F$11)</f>
        <v>8.5397999999999996</v>
      </c>
      <c r="H379" s="4">
        <f>9.4296 * CHOOSE(CONTROL!$C$15, $D$11, 100%, $F$11)</f>
        <v>9.4296000000000006</v>
      </c>
      <c r="I379" s="8">
        <f>8.4447 * CHOOSE(CONTROL!$C$15, $D$11, 100%, $F$11)</f>
        <v>8.4446999999999992</v>
      </c>
      <c r="J379" s="4">
        <f>8.3824 * CHOOSE(CONTROL!$C$15, $D$11, 100%, $F$11)</f>
        <v>8.3824000000000005</v>
      </c>
      <c r="K379" s="4"/>
      <c r="L379" s="9">
        <v>27.3993</v>
      </c>
      <c r="M379" s="9">
        <v>12.063700000000001</v>
      </c>
      <c r="N379" s="9">
        <v>4.9444999999999997</v>
      </c>
      <c r="O379" s="9">
        <v>0.37459999999999999</v>
      </c>
      <c r="P379" s="9">
        <v>1.2939000000000001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8.886 * CHOOSE(CONTROL!$C$15, $D$11, 100%, $F$11)</f>
        <v>8.8859999999999992</v>
      </c>
      <c r="C380" s="8">
        <f>8.8964 * CHOOSE(CONTROL!$C$15, $D$11, 100%, $F$11)</f>
        <v>8.8963999999999999</v>
      </c>
      <c r="D380" s="8">
        <f>8.9004 * CHOOSE( CONTROL!$C$15, $D$11, 100%, $F$11)</f>
        <v>8.9003999999999994</v>
      </c>
      <c r="E380" s="12">
        <f>8.8979 * CHOOSE( CONTROL!$C$15, $D$11, 100%, $F$11)</f>
        <v>8.8978999999999999</v>
      </c>
      <c r="F380" s="4">
        <f>9.8932 * CHOOSE(CONTROL!$C$15, $D$11, 100%, $F$11)</f>
        <v>9.8932000000000002</v>
      </c>
      <c r="G380" s="8">
        <f>8.6578 * CHOOSE( CONTROL!$C$15, $D$11, 100%, $F$11)</f>
        <v>8.6577999999999999</v>
      </c>
      <c r="H380" s="4">
        <f>9.5674 * CHOOSE(CONTROL!$C$15, $D$11, 100%, $F$11)</f>
        <v>9.5673999999999992</v>
      </c>
      <c r="I380" s="8">
        <f>8.5623 * CHOOSE(CONTROL!$C$15, $D$11, 100%, $F$11)</f>
        <v>8.5623000000000005</v>
      </c>
      <c r="J380" s="4">
        <f>8.5098 * CHOOSE(CONTROL!$C$15, $D$11, 100%, $F$11)</f>
        <v>8.5098000000000003</v>
      </c>
      <c r="K380" s="4"/>
      <c r="L380" s="9">
        <v>27.988800000000001</v>
      </c>
      <c r="M380" s="9">
        <v>11.6745</v>
      </c>
      <c r="N380" s="9">
        <v>4.7850000000000001</v>
      </c>
      <c r="O380" s="9">
        <v>0.36249999999999999</v>
      </c>
      <c r="P380" s="9">
        <v>1.1798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CONTROL!$C$32, 9.1279, 9.1226) * CHOOSE(CONTROL!$C$15, $D$11, 100%, $F$11)</f>
        <v>9.1279000000000003</v>
      </c>
      <c r="C381" s="8">
        <f>CHOOSE( CONTROL!$C$32, 9.1383, 9.133) * CHOOSE(CONTROL!$C$15, $D$11, 100%, $F$11)</f>
        <v>9.1382999999999992</v>
      </c>
      <c r="D381" s="8">
        <f>CHOOSE( CONTROL!$C$32, 9.1511, 9.1459) * CHOOSE( CONTROL!$C$15, $D$11, 100%, $F$11)</f>
        <v>9.1510999999999996</v>
      </c>
      <c r="E381" s="12">
        <f>CHOOSE( CONTROL!$C$32, 9.1449, 9.1396) * CHOOSE( CONTROL!$C$15, $D$11, 100%, $F$11)</f>
        <v>9.1448999999999998</v>
      </c>
      <c r="F381" s="4">
        <f>CHOOSE( CONTROL!$C$32, 10.1508, 10.1455) * CHOOSE(CONTROL!$C$15, $D$11, 100%, $F$11)</f>
        <v>10.1508</v>
      </c>
      <c r="G381" s="8">
        <f>CHOOSE( CONTROL!$C$32, 8.8992, 8.894) * CHOOSE( CONTROL!$C$15, $D$11, 100%, $F$11)</f>
        <v>8.8992000000000004</v>
      </c>
      <c r="H381" s="4">
        <f>CHOOSE( CONTROL!$C$32, 9.8184, 9.8133) * CHOOSE(CONTROL!$C$15, $D$11, 100%, $F$11)</f>
        <v>9.8184000000000005</v>
      </c>
      <c r="I381" s="8">
        <f>CHOOSE( CONTROL!$C$32, 8.7995, 8.7944) * CHOOSE(CONTROL!$C$15, $D$11, 100%, $F$11)</f>
        <v>8.7995000000000001</v>
      </c>
      <c r="J381" s="4">
        <f>CHOOSE( CONTROL!$C$32, 8.7416, 8.7365) * CHOOSE(CONTROL!$C$15, $D$11, 100%, $F$11)</f>
        <v>8.7416</v>
      </c>
      <c r="K381" s="4"/>
      <c r="L381" s="9">
        <v>29.520499999999998</v>
      </c>
      <c r="M381" s="9">
        <v>12.063700000000001</v>
      </c>
      <c r="N381" s="9">
        <v>4.9444999999999997</v>
      </c>
      <c r="O381" s="9">
        <v>0.37459999999999999</v>
      </c>
      <c r="P381" s="9">
        <v>1.2192000000000001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CONTROL!$C$32, 8.9813, 8.976) * CHOOSE(CONTROL!$C$15, $D$11, 100%, $F$11)</f>
        <v>8.9812999999999992</v>
      </c>
      <c r="C382" s="8">
        <f>CHOOSE( CONTROL!$C$32, 8.9917, 8.9865) * CHOOSE(CONTROL!$C$15, $D$11, 100%, $F$11)</f>
        <v>8.9916999999999998</v>
      </c>
      <c r="D382" s="8">
        <f>CHOOSE( CONTROL!$C$32, 9.0121, 9.0069) * CHOOSE( CONTROL!$C$15, $D$11, 100%, $F$11)</f>
        <v>9.0121000000000002</v>
      </c>
      <c r="E382" s="12">
        <f>CHOOSE( CONTROL!$C$32, 9.0031, 8.9979) * CHOOSE( CONTROL!$C$15, $D$11, 100%, $F$11)</f>
        <v>9.0030999999999999</v>
      </c>
      <c r="F382" s="4">
        <f>CHOOSE( CONTROL!$C$32, 10.0167, 10.0114) * CHOOSE(CONTROL!$C$15, $D$11, 100%, $F$11)</f>
        <v>10.0167</v>
      </c>
      <c r="G382" s="8">
        <f>CHOOSE( CONTROL!$C$32, 8.7601, 8.755) * CHOOSE( CONTROL!$C$15, $D$11, 100%, $F$11)</f>
        <v>8.7600999999999996</v>
      </c>
      <c r="H382" s="4">
        <f>CHOOSE( CONTROL!$C$32, 9.6878, 9.6826) * CHOOSE(CONTROL!$C$15, $D$11, 100%, $F$11)</f>
        <v>9.6877999999999993</v>
      </c>
      <c r="I382" s="8">
        <f>CHOOSE( CONTROL!$C$32, 8.6642, 8.6591) * CHOOSE(CONTROL!$C$15, $D$11, 100%, $F$11)</f>
        <v>8.6641999999999992</v>
      </c>
      <c r="J382" s="4">
        <f>CHOOSE( CONTROL!$C$32, 8.6011, 8.5961) * CHOOSE(CONTROL!$C$15, $D$11, 100%, $F$11)</f>
        <v>8.6011000000000006</v>
      </c>
      <c r="K382" s="4"/>
      <c r="L382" s="9">
        <v>28.568200000000001</v>
      </c>
      <c r="M382" s="9">
        <v>11.6745</v>
      </c>
      <c r="N382" s="9">
        <v>4.7850000000000001</v>
      </c>
      <c r="O382" s="9">
        <v>0.36249999999999999</v>
      </c>
      <c r="P382" s="9">
        <v>1.1798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CONTROL!$C$32, 9.3673, 9.362) * CHOOSE(CONTROL!$C$15, $D$11, 100%, $F$11)</f>
        <v>9.3673000000000002</v>
      </c>
      <c r="C383" s="8">
        <f>CHOOSE( CONTROL!$C$32, 9.3777, 9.3725) * CHOOSE(CONTROL!$C$15, $D$11, 100%, $F$11)</f>
        <v>9.3777000000000008</v>
      </c>
      <c r="D383" s="8">
        <f>CHOOSE( CONTROL!$C$32, 9.3883, 9.3831) * CHOOSE( CONTROL!$C$15, $D$11, 100%, $F$11)</f>
        <v>9.3882999999999992</v>
      </c>
      <c r="E383" s="12">
        <f>CHOOSE( CONTROL!$C$32, 9.3829, 9.3777) * CHOOSE( CONTROL!$C$15, $D$11, 100%, $F$11)</f>
        <v>9.3828999999999994</v>
      </c>
      <c r="F383" s="4">
        <f>CHOOSE( CONTROL!$C$32, 10.4027, 10.3975) * CHOOSE(CONTROL!$C$15, $D$11, 100%, $F$11)</f>
        <v>10.402699999999999</v>
      </c>
      <c r="G383" s="8">
        <f>CHOOSE( CONTROL!$C$32, 9.1232, 9.1181) * CHOOSE( CONTROL!$C$15, $D$11, 100%, $F$11)</f>
        <v>9.1232000000000006</v>
      </c>
      <c r="H383" s="4">
        <f>CHOOSE( CONTROL!$C$32, 10.064, 10.0589) * CHOOSE(CONTROL!$C$15, $D$11, 100%, $F$11)</f>
        <v>10.064</v>
      </c>
      <c r="I383" s="8">
        <f>CHOOSE( CONTROL!$C$32, 9.0376, 9.0326) * CHOOSE(CONTROL!$C$15, $D$11, 100%, $F$11)</f>
        <v>9.0375999999999994</v>
      </c>
      <c r="J383" s="4">
        <f>CHOOSE( CONTROL!$C$32, 8.971, 8.966) * CHOOSE(CONTROL!$C$15, $D$11, 100%, $F$11)</f>
        <v>8.9710000000000001</v>
      </c>
      <c r="K383" s="4"/>
      <c r="L383" s="9">
        <v>29.520499999999998</v>
      </c>
      <c r="M383" s="9">
        <v>12.063700000000001</v>
      </c>
      <c r="N383" s="9">
        <v>4.9444999999999997</v>
      </c>
      <c r="O383" s="9">
        <v>0.37459999999999999</v>
      </c>
      <c r="P383" s="9">
        <v>1.2192000000000001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CONTROL!$C$32, 8.645, 8.6397) * CHOOSE(CONTROL!$C$15, $D$11, 100%, $F$11)</f>
        <v>8.6449999999999996</v>
      </c>
      <c r="C384" s="8">
        <f>CHOOSE( CONTROL!$C$32, 8.6554, 8.6502) * CHOOSE(CONTROL!$C$15, $D$11, 100%, $F$11)</f>
        <v>8.6554000000000002</v>
      </c>
      <c r="D384" s="8">
        <f>CHOOSE( CONTROL!$C$32, 8.6664, 8.6611) * CHOOSE( CONTROL!$C$15, $D$11, 100%, $F$11)</f>
        <v>8.6663999999999994</v>
      </c>
      <c r="E384" s="12">
        <f>CHOOSE( CONTROL!$C$32, 8.6608, 8.6555) * CHOOSE( CONTROL!$C$15, $D$11, 100%, $F$11)</f>
        <v>8.6608000000000001</v>
      </c>
      <c r="F384" s="4">
        <f>CHOOSE( CONTROL!$C$32, 9.6804, 9.6752) * CHOOSE(CONTROL!$C$15, $D$11, 100%, $F$11)</f>
        <v>9.6804000000000006</v>
      </c>
      <c r="G384" s="8">
        <f>CHOOSE( CONTROL!$C$32, 8.4196, 8.4145) * CHOOSE( CONTROL!$C$15, $D$11, 100%, $F$11)</f>
        <v>8.4196000000000009</v>
      </c>
      <c r="H384" s="4">
        <f>CHOOSE( CONTROL!$C$32, 9.36, 9.3548) * CHOOSE(CONTROL!$C$15, $D$11, 100%, $F$11)</f>
        <v>9.36</v>
      </c>
      <c r="I384" s="8">
        <f>CHOOSE( CONTROL!$C$32, 8.3468, 8.3418) * CHOOSE(CONTROL!$C$15, $D$11, 100%, $F$11)</f>
        <v>8.3468</v>
      </c>
      <c r="J384" s="4">
        <f>CHOOSE( CONTROL!$C$32, 8.2789, 8.2738) * CHOOSE(CONTROL!$C$15, $D$11, 100%, $F$11)</f>
        <v>8.2789000000000001</v>
      </c>
      <c r="K384" s="4"/>
      <c r="L384" s="9">
        <v>29.520499999999998</v>
      </c>
      <c r="M384" s="9">
        <v>12.063700000000001</v>
      </c>
      <c r="N384" s="9">
        <v>4.9444999999999997</v>
      </c>
      <c r="O384" s="9">
        <v>0.37459999999999999</v>
      </c>
      <c r="P384" s="9">
        <v>1.2192000000000001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CONTROL!$C$32, 8.4641, 8.4589) * CHOOSE(CONTROL!$C$15, $D$11, 100%, $F$11)</f>
        <v>8.4641000000000002</v>
      </c>
      <c r="C385" s="8">
        <f>CHOOSE( CONTROL!$C$32, 8.4746, 8.4693) * CHOOSE(CONTROL!$C$15, $D$11, 100%, $F$11)</f>
        <v>8.4746000000000006</v>
      </c>
      <c r="D385" s="8">
        <f>CHOOSE( CONTROL!$C$32, 8.4856, 8.4804) * CHOOSE( CONTROL!$C$15, $D$11, 100%, $F$11)</f>
        <v>8.4855999999999998</v>
      </c>
      <c r="E385" s="12">
        <f>CHOOSE( CONTROL!$C$32, 8.48, 8.4748) * CHOOSE( CONTROL!$C$15, $D$11, 100%, $F$11)</f>
        <v>8.48</v>
      </c>
      <c r="F385" s="4">
        <f>CHOOSE( CONTROL!$C$32, 9.4996, 9.4943) * CHOOSE(CONTROL!$C$15, $D$11, 100%, $F$11)</f>
        <v>9.4995999999999992</v>
      </c>
      <c r="G385" s="8">
        <f>CHOOSE( CONTROL!$C$32, 8.2435, 8.2384) * CHOOSE( CONTROL!$C$15, $D$11, 100%, $F$11)</f>
        <v>8.2434999999999992</v>
      </c>
      <c r="H385" s="4">
        <f>CHOOSE( CONTROL!$C$32, 9.1837, 9.1785) * CHOOSE(CONTROL!$C$15, $D$11, 100%, $F$11)</f>
        <v>9.1837</v>
      </c>
      <c r="I385" s="8">
        <f>CHOOSE( CONTROL!$C$32, 8.1741, 8.169) * CHOOSE(CONTROL!$C$15, $D$11, 100%, $F$11)</f>
        <v>8.1740999999999993</v>
      </c>
      <c r="J385" s="4">
        <f>CHOOSE( CONTROL!$C$32, 8.1056, 8.1005) * CHOOSE(CONTROL!$C$15, $D$11, 100%, $F$11)</f>
        <v>8.1056000000000008</v>
      </c>
      <c r="K385" s="4"/>
      <c r="L385" s="9">
        <v>28.568200000000001</v>
      </c>
      <c r="M385" s="9">
        <v>11.6745</v>
      </c>
      <c r="N385" s="9">
        <v>4.7850000000000001</v>
      </c>
      <c r="O385" s="9">
        <v>0.36249999999999999</v>
      </c>
      <c r="P385" s="9">
        <v>1.1798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8.8344 * CHOOSE(CONTROL!$C$15, $D$11, 100%, $F$11)</f>
        <v>8.8344000000000005</v>
      </c>
      <c r="C386" s="8">
        <f>8.8449 * CHOOSE(CONTROL!$C$15, $D$11, 100%, $F$11)</f>
        <v>8.8449000000000009</v>
      </c>
      <c r="D386" s="8">
        <f>8.8572 * CHOOSE( CONTROL!$C$15, $D$11, 100%, $F$11)</f>
        <v>8.8572000000000006</v>
      </c>
      <c r="E386" s="12">
        <f>8.852 * CHOOSE( CONTROL!$C$15, $D$11, 100%, $F$11)</f>
        <v>8.8520000000000003</v>
      </c>
      <c r="F386" s="4">
        <f>9.8699 * CHOOSE(CONTROL!$C$15, $D$11, 100%, $F$11)</f>
        <v>9.8698999999999995</v>
      </c>
      <c r="G386" s="8">
        <f>8.6038 * CHOOSE( CONTROL!$C$15, $D$11, 100%, $F$11)</f>
        <v>8.6037999999999997</v>
      </c>
      <c r="H386" s="4">
        <f>9.5446 * CHOOSE(CONTROL!$C$15, $D$11, 100%, $F$11)</f>
        <v>9.5446000000000009</v>
      </c>
      <c r="I386" s="8">
        <f>8.5305 * CHOOSE(CONTROL!$C$15, $D$11, 100%, $F$11)</f>
        <v>8.5305</v>
      </c>
      <c r="J386" s="4">
        <f>8.4604 * CHOOSE(CONTROL!$C$15, $D$11, 100%, $F$11)</f>
        <v>8.4603999999999999</v>
      </c>
      <c r="K386" s="4"/>
      <c r="L386" s="9">
        <v>28.921800000000001</v>
      </c>
      <c r="M386" s="9">
        <v>12.063700000000001</v>
      </c>
      <c r="N386" s="9">
        <v>4.9444999999999997</v>
      </c>
      <c r="O386" s="9">
        <v>0.37459999999999999</v>
      </c>
      <c r="P386" s="9">
        <v>1.2192000000000001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9.5276 * CHOOSE(CONTROL!$C$15, $D$11, 100%, $F$11)</f>
        <v>9.5275999999999996</v>
      </c>
      <c r="C387" s="8">
        <f>9.5381 * CHOOSE(CONTROL!$C$15, $D$11, 100%, $F$11)</f>
        <v>9.5381</v>
      </c>
      <c r="D387" s="8">
        <f>9.5218 * CHOOSE( CONTROL!$C$15, $D$11, 100%, $F$11)</f>
        <v>9.5218000000000007</v>
      </c>
      <c r="E387" s="12">
        <f>9.5266 * CHOOSE( CONTROL!$C$15, $D$11, 100%, $F$11)</f>
        <v>9.5266000000000002</v>
      </c>
      <c r="F387" s="4">
        <f>10.5218 * CHOOSE(CONTROL!$C$15, $D$11, 100%, $F$11)</f>
        <v>10.521800000000001</v>
      </c>
      <c r="G387" s="8">
        <f>9.3005 * CHOOSE( CONTROL!$C$15, $D$11, 100%, $F$11)</f>
        <v>9.3004999999999995</v>
      </c>
      <c r="H387" s="4">
        <f>10.1801 * CHOOSE(CONTROL!$C$15, $D$11, 100%, $F$11)</f>
        <v>10.180099999999999</v>
      </c>
      <c r="I387" s="8">
        <f>9.2319 * CHOOSE(CONTROL!$C$15, $D$11, 100%, $F$11)</f>
        <v>9.2318999999999996</v>
      </c>
      <c r="J387" s="4">
        <f>9.1246 * CHOOSE(CONTROL!$C$15, $D$11, 100%, $F$11)</f>
        <v>9.1245999999999992</v>
      </c>
      <c r="K387" s="4"/>
      <c r="L387" s="9">
        <v>26.515499999999999</v>
      </c>
      <c r="M387" s="9">
        <v>11.6745</v>
      </c>
      <c r="N387" s="9">
        <v>4.7850000000000001</v>
      </c>
      <c r="O387" s="9">
        <v>0.36249999999999999</v>
      </c>
      <c r="P387" s="9">
        <v>1.2522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9.5103 * CHOOSE(CONTROL!$C$15, $D$11, 100%, $F$11)</f>
        <v>9.5103000000000009</v>
      </c>
      <c r="C388" s="8">
        <f>9.5207 * CHOOSE(CONTROL!$C$15, $D$11, 100%, $F$11)</f>
        <v>9.5206999999999997</v>
      </c>
      <c r="D388" s="8">
        <f>9.5068 * CHOOSE( CONTROL!$C$15, $D$11, 100%, $F$11)</f>
        <v>9.5068000000000001</v>
      </c>
      <c r="E388" s="12">
        <f>9.5108 * CHOOSE( CONTROL!$C$15, $D$11, 100%, $F$11)</f>
        <v>9.5107999999999997</v>
      </c>
      <c r="F388" s="4">
        <f>10.5045 * CHOOSE(CONTROL!$C$15, $D$11, 100%, $F$11)</f>
        <v>10.5045</v>
      </c>
      <c r="G388" s="8">
        <f>9.2854 * CHOOSE( CONTROL!$C$15, $D$11, 100%, $F$11)</f>
        <v>9.2853999999999992</v>
      </c>
      <c r="H388" s="4">
        <f>10.1632 * CHOOSE(CONTROL!$C$15, $D$11, 100%, $F$11)</f>
        <v>10.1632</v>
      </c>
      <c r="I388" s="8">
        <f>9.2229 * CHOOSE(CONTROL!$C$15, $D$11, 100%, $F$11)</f>
        <v>9.2228999999999992</v>
      </c>
      <c r="J388" s="4">
        <f>9.108 * CHOOSE(CONTROL!$C$15, $D$11, 100%, $F$11)</f>
        <v>9.1080000000000005</v>
      </c>
      <c r="K388" s="4"/>
      <c r="L388" s="9">
        <v>27.3993</v>
      </c>
      <c r="M388" s="9">
        <v>12.063700000000001</v>
      </c>
      <c r="N388" s="9">
        <v>4.9444999999999997</v>
      </c>
      <c r="O388" s="9">
        <v>0.37459999999999999</v>
      </c>
      <c r="P388" s="9">
        <v>1.2939000000000001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9.8736 * CHOOSE(CONTROL!$C$15, $D$11, 100%, $F$11)</f>
        <v>9.8735999999999997</v>
      </c>
      <c r="C389" s="8">
        <f>9.884 * CHOOSE(CONTROL!$C$15, $D$11, 100%, $F$11)</f>
        <v>9.8840000000000003</v>
      </c>
      <c r="D389" s="8">
        <f>9.8834 * CHOOSE( CONTROL!$C$15, $D$11, 100%, $F$11)</f>
        <v>9.8834</v>
      </c>
      <c r="E389" s="12">
        <f>9.8825 * CHOOSE( CONTROL!$C$15, $D$11, 100%, $F$11)</f>
        <v>9.8825000000000003</v>
      </c>
      <c r="F389" s="4">
        <f>10.8965 * CHOOSE(CONTROL!$C$15, $D$11, 100%, $F$11)</f>
        <v>10.8965</v>
      </c>
      <c r="G389" s="8">
        <f>9.653 * CHOOSE( CONTROL!$C$15, $D$11, 100%, $F$11)</f>
        <v>9.6530000000000005</v>
      </c>
      <c r="H389" s="4">
        <f>10.5453 * CHOOSE(CONTROL!$C$15, $D$11, 100%, $F$11)</f>
        <v>10.545299999999999</v>
      </c>
      <c r="I389" s="8">
        <f>9.5694 * CHOOSE(CONTROL!$C$15, $D$11, 100%, $F$11)</f>
        <v>9.5693999999999999</v>
      </c>
      <c r="J389" s="4">
        <f>9.4561 * CHOOSE(CONTROL!$C$15, $D$11, 100%, $F$11)</f>
        <v>9.4560999999999993</v>
      </c>
      <c r="K389" s="4"/>
      <c r="L389" s="9">
        <v>27.3993</v>
      </c>
      <c r="M389" s="9">
        <v>12.063700000000001</v>
      </c>
      <c r="N389" s="9">
        <v>4.9444999999999997</v>
      </c>
      <c r="O389" s="9">
        <v>0.37459999999999999</v>
      </c>
      <c r="P389" s="9">
        <v>1.2939000000000001</v>
      </c>
      <c r="Q389" s="9">
        <v>20.2666</v>
      </c>
      <c r="R389" s="9"/>
      <c r="S389" s="11"/>
    </row>
    <row r="390" spans="1:19" ht="15.75">
      <c r="A390" s="13">
        <v>53751</v>
      </c>
      <c r="B390" s="8">
        <f>9.2356 * CHOOSE(CONTROL!$C$15, $D$11, 100%, $F$11)</f>
        <v>9.2355999999999998</v>
      </c>
      <c r="C390" s="8">
        <f>9.246 * CHOOSE(CONTROL!$C$15, $D$11, 100%, $F$11)</f>
        <v>9.2460000000000004</v>
      </c>
      <c r="D390" s="8">
        <f>9.2475 * CHOOSE( CONTROL!$C$15, $D$11, 100%, $F$11)</f>
        <v>9.2475000000000005</v>
      </c>
      <c r="E390" s="12">
        <f>9.2458 * CHOOSE( CONTROL!$C$15, $D$11, 100%, $F$11)</f>
        <v>9.2457999999999991</v>
      </c>
      <c r="F390" s="4">
        <f>10.2507 * CHOOSE(CONTROL!$C$15, $D$11, 100%, $F$11)</f>
        <v>10.2507</v>
      </c>
      <c r="G390" s="8">
        <f>9.0309 * CHOOSE( CONTROL!$C$15, $D$11, 100%, $F$11)</f>
        <v>9.0309000000000008</v>
      </c>
      <c r="H390" s="4">
        <f>9.9158 * CHOOSE(CONTROL!$C$15, $D$11, 100%, $F$11)</f>
        <v>9.9158000000000008</v>
      </c>
      <c r="I390" s="8">
        <f>8.9469 * CHOOSE(CONTROL!$C$15, $D$11, 100%, $F$11)</f>
        <v>8.9468999999999994</v>
      </c>
      <c r="J390" s="4">
        <f>8.8448 * CHOOSE(CONTROL!$C$15, $D$11, 100%, $F$11)</f>
        <v>8.8447999999999993</v>
      </c>
      <c r="K390" s="4"/>
      <c r="L390" s="9">
        <v>24.747800000000002</v>
      </c>
      <c r="M390" s="9">
        <v>10.8962</v>
      </c>
      <c r="N390" s="9">
        <v>4.4660000000000002</v>
      </c>
      <c r="O390" s="9">
        <v>0.33829999999999999</v>
      </c>
      <c r="P390" s="9">
        <v>1.1687000000000001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9.0391 * CHOOSE(CONTROL!$C$15, $D$11, 100%, $F$11)</f>
        <v>9.0390999999999995</v>
      </c>
      <c r="C391" s="8">
        <f>9.0495 * CHOOSE(CONTROL!$C$15, $D$11, 100%, $F$11)</f>
        <v>9.0495000000000001</v>
      </c>
      <c r="D391" s="8">
        <f>9.0306 * CHOOSE( CONTROL!$C$15, $D$11, 100%, $F$11)</f>
        <v>9.0305999999999997</v>
      </c>
      <c r="E391" s="12">
        <f>9.0364 * CHOOSE( CONTROL!$C$15, $D$11, 100%, $F$11)</f>
        <v>9.0364000000000004</v>
      </c>
      <c r="F391" s="4">
        <f>10.038 * CHOOSE(CONTROL!$C$15, $D$11, 100%, $F$11)</f>
        <v>10.038</v>
      </c>
      <c r="G391" s="8">
        <f>8.8187 * CHOOSE( CONTROL!$C$15, $D$11, 100%, $F$11)</f>
        <v>8.8186999999999998</v>
      </c>
      <c r="H391" s="4">
        <f>9.7085 * CHOOSE(CONTROL!$C$15, $D$11, 100%, $F$11)</f>
        <v>9.7085000000000008</v>
      </c>
      <c r="I391" s="8">
        <f>8.719 * CHOOSE(CONTROL!$C$15, $D$11, 100%, $F$11)</f>
        <v>8.7189999999999994</v>
      </c>
      <c r="J391" s="4">
        <f>8.6565 * CHOOSE(CONTROL!$C$15, $D$11, 100%, $F$11)</f>
        <v>8.6564999999999994</v>
      </c>
      <c r="K391" s="4"/>
      <c r="L391" s="9">
        <v>27.3993</v>
      </c>
      <c r="M391" s="9">
        <v>12.063700000000001</v>
      </c>
      <c r="N391" s="9">
        <v>4.9444999999999997</v>
      </c>
      <c r="O391" s="9">
        <v>0.37459999999999999</v>
      </c>
      <c r="P391" s="9">
        <v>1.2939000000000001</v>
      </c>
      <c r="Q391" s="9">
        <v>20.2666</v>
      </c>
      <c r="R391" s="9"/>
      <c r="S391" s="11"/>
    </row>
    <row r="392" spans="1:19" ht="15.75">
      <c r="A392" s="13">
        <v>53812</v>
      </c>
      <c r="B392" s="8">
        <f>9.1764 * CHOOSE(CONTROL!$C$15, $D$11, 100%, $F$11)</f>
        <v>9.1763999999999992</v>
      </c>
      <c r="C392" s="8">
        <f>9.1868 * CHOOSE(CONTROL!$C$15, $D$11, 100%, $F$11)</f>
        <v>9.1867999999999999</v>
      </c>
      <c r="D392" s="8">
        <f>9.1909 * CHOOSE( CONTROL!$C$15, $D$11, 100%, $F$11)</f>
        <v>9.1908999999999992</v>
      </c>
      <c r="E392" s="12">
        <f>9.1884 * CHOOSE( CONTROL!$C$15, $D$11, 100%, $F$11)</f>
        <v>9.1883999999999997</v>
      </c>
      <c r="F392" s="4">
        <f>10.1837 * CHOOSE(CONTROL!$C$15, $D$11, 100%, $F$11)</f>
        <v>10.1837</v>
      </c>
      <c r="G392" s="8">
        <f>8.9409 * CHOOSE( CONTROL!$C$15, $D$11, 100%, $F$11)</f>
        <v>8.9408999999999992</v>
      </c>
      <c r="H392" s="4">
        <f>9.8505 * CHOOSE(CONTROL!$C$15, $D$11, 100%, $F$11)</f>
        <v>9.8505000000000003</v>
      </c>
      <c r="I392" s="8">
        <f>8.8407 * CHOOSE(CONTROL!$C$15, $D$11, 100%, $F$11)</f>
        <v>8.8407</v>
      </c>
      <c r="J392" s="4">
        <f>8.7881 * CHOOSE(CONTROL!$C$15, $D$11, 100%, $F$11)</f>
        <v>8.7881</v>
      </c>
      <c r="K392" s="4"/>
      <c r="L392" s="9">
        <v>27.988800000000001</v>
      </c>
      <c r="M392" s="9">
        <v>11.6745</v>
      </c>
      <c r="N392" s="9">
        <v>4.7850000000000001</v>
      </c>
      <c r="O392" s="9">
        <v>0.36249999999999999</v>
      </c>
      <c r="P392" s="9">
        <v>1.1798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CONTROL!$C$32, 9.426, 9.4208) * CHOOSE(CONTROL!$C$15, $D$11, 100%, $F$11)</f>
        <v>9.4260000000000002</v>
      </c>
      <c r="C393" s="8">
        <f>CHOOSE( CONTROL!$C$32, 9.4365, 9.4312) * CHOOSE(CONTROL!$C$15, $D$11, 100%, $F$11)</f>
        <v>9.4365000000000006</v>
      </c>
      <c r="D393" s="8">
        <f>CHOOSE( CONTROL!$C$32, 9.4493, 9.4441) * CHOOSE( CONTROL!$C$15, $D$11, 100%, $F$11)</f>
        <v>9.4492999999999991</v>
      </c>
      <c r="E393" s="12">
        <f>CHOOSE( CONTROL!$C$32, 9.4431, 9.4378) * CHOOSE( CONTROL!$C$15, $D$11, 100%, $F$11)</f>
        <v>9.4430999999999994</v>
      </c>
      <c r="F393" s="4">
        <f>CHOOSE( CONTROL!$C$32, 10.449, 10.4437) * CHOOSE(CONTROL!$C$15, $D$11, 100%, $F$11)</f>
        <v>10.449</v>
      </c>
      <c r="G393" s="8">
        <f>CHOOSE( CONTROL!$C$32, 9.1898, 9.1847) * CHOOSE( CONTROL!$C$15, $D$11, 100%, $F$11)</f>
        <v>9.1898</v>
      </c>
      <c r="H393" s="4">
        <f>CHOOSE( CONTROL!$C$32, 10.1091, 10.104) * CHOOSE(CONTROL!$C$15, $D$11, 100%, $F$11)</f>
        <v>10.1091</v>
      </c>
      <c r="I393" s="8">
        <f>CHOOSE( CONTROL!$C$32, 9.0853, 9.0803) * CHOOSE(CONTROL!$C$15, $D$11, 100%, $F$11)</f>
        <v>9.0853000000000002</v>
      </c>
      <c r="J393" s="4">
        <f>CHOOSE( CONTROL!$C$32, 9.0273, 9.0222) * CHOOSE(CONTROL!$C$15, $D$11, 100%, $F$11)</f>
        <v>9.0273000000000003</v>
      </c>
      <c r="K393" s="4"/>
      <c r="L393" s="9">
        <v>29.520499999999998</v>
      </c>
      <c r="M393" s="9">
        <v>12.063700000000001</v>
      </c>
      <c r="N393" s="9">
        <v>4.9444999999999997</v>
      </c>
      <c r="O393" s="9">
        <v>0.37459999999999999</v>
      </c>
      <c r="P393" s="9">
        <v>1.2192000000000001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CONTROL!$C$32, 9.2747, 9.2694) * CHOOSE(CONTROL!$C$15, $D$11, 100%, $F$11)</f>
        <v>9.2746999999999993</v>
      </c>
      <c r="C394" s="8">
        <f>CHOOSE( CONTROL!$C$32, 9.2851, 9.2798) * CHOOSE(CONTROL!$C$15, $D$11, 100%, $F$11)</f>
        <v>9.2850999999999999</v>
      </c>
      <c r="D394" s="8">
        <f>CHOOSE( CONTROL!$C$32, 9.3055, 9.3003) * CHOOSE( CONTROL!$C$15, $D$11, 100%, $F$11)</f>
        <v>9.3055000000000003</v>
      </c>
      <c r="E394" s="12">
        <f>CHOOSE( CONTROL!$C$32, 9.2965, 9.2913) * CHOOSE( CONTROL!$C$15, $D$11, 100%, $F$11)</f>
        <v>9.2965</v>
      </c>
      <c r="F394" s="4">
        <f>CHOOSE( CONTROL!$C$32, 10.3101, 10.3048) * CHOOSE(CONTROL!$C$15, $D$11, 100%, $F$11)</f>
        <v>10.3101</v>
      </c>
      <c r="G394" s="8">
        <f>CHOOSE( CONTROL!$C$32, 9.0461, 9.041) * CHOOSE( CONTROL!$C$15, $D$11, 100%, $F$11)</f>
        <v>9.0460999999999991</v>
      </c>
      <c r="H394" s="4">
        <f>CHOOSE( CONTROL!$C$32, 9.9737, 9.9686) * CHOOSE(CONTROL!$C$15, $D$11, 100%, $F$11)</f>
        <v>9.9736999999999991</v>
      </c>
      <c r="I394" s="8">
        <f>CHOOSE( CONTROL!$C$32, 8.9454, 8.9404) * CHOOSE(CONTROL!$C$15, $D$11, 100%, $F$11)</f>
        <v>8.9453999999999994</v>
      </c>
      <c r="J394" s="4">
        <f>CHOOSE( CONTROL!$C$32, 8.8822, 8.8772) * CHOOSE(CONTROL!$C$15, $D$11, 100%, $F$11)</f>
        <v>8.8821999999999992</v>
      </c>
      <c r="K394" s="4"/>
      <c r="L394" s="9">
        <v>28.568200000000001</v>
      </c>
      <c r="M394" s="9">
        <v>11.6745</v>
      </c>
      <c r="N394" s="9">
        <v>4.7850000000000001</v>
      </c>
      <c r="O394" s="9">
        <v>0.36249999999999999</v>
      </c>
      <c r="P394" s="9">
        <v>1.1798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CONTROL!$C$32, 9.6733, 9.6681) * CHOOSE(CONTROL!$C$15, $D$11, 100%, $F$11)</f>
        <v>9.6732999999999993</v>
      </c>
      <c r="C395" s="8">
        <f>CHOOSE( CONTROL!$C$32, 9.6837, 9.6785) * CHOOSE(CONTROL!$C$15, $D$11, 100%, $F$11)</f>
        <v>9.6837</v>
      </c>
      <c r="D395" s="8">
        <f>CHOOSE( CONTROL!$C$32, 9.6943, 9.6891) * CHOOSE( CONTROL!$C$15, $D$11, 100%, $F$11)</f>
        <v>9.6943000000000001</v>
      </c>
      <c r="E395" s="12">
        <f>CHOOSE( CONTROL!$C$32, 9.6889, 9.6837) * CHOOSE( CONTROL!$C$15, $D$11, 100%, $F$11)</f>
        <v>9.6889000000000003</v>
      </c>
      <c r="F395" s="4">
        <f>CHOOSE( CONTROL!$C$32, 10.7087, 10.7035) * CHOOSE(CONTROL!$C$15, $D$11, 100%, $F$11)</f>
        <v>10.7087</v>
      </c>
      <c r="G395" s="8">
        <f>CHOOSE( CONTROL!$C$32, 9.4215, 9.4164) * CHOOSE( CONTROL!$C$15, $D$11, 100%, $F$11)</f>
        <v>9.4215</v>
      </c>
      <c r="H395" s="4">
        <f>CHOOSE( CONTROL!$C$32, 10.3623, 10.3572) * CHOOSE(CONTROL!$C$15, $D$11, 100%, $F$11)</f>
        <v>10.362299999999999</v>
      </c>
      <c r="I395" s="8">
        <f>CHOOSE( CONTROL!$C$32, 9.331, 9.326) * CHOOSE(CONTROL!$C$15, $D$11, 100%, $F$11)</f>
        <v>9.3309999999999995</v>
      </c>
      <c r="J395" s="4">
        <f>CHOOSE( CONTROL!$C$32, 9.2642, 9.2592) * CHOOSE(CONTROL!$C$15, $D$11, 100%, $F$11)</f>
        <v>9.2642000000000007</v>
      </c>
      <c r="K395" s="4"/>
      <c r="L395" s="9">
        <v>29.520499999999998</v>
      </c>
      <c r="M395" s="9">
        <v>12.063700000000001</v>
      </c>
      <c r="N395" s="9">
        <v>4.9444999999999997</v>
      </c>
      <c r="O395" s="9">
        <v>0.37459999999999999</v>
      </c>
      <c r="P395" s="9">
        <v>1.2192000000000001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CONTROL!$C$32, 8.9274, 8.9221) * CHOOSE(CONTROL!$C$15, $D$11, 100%, $F$11)</f>
        <v>8.9274000000000004</v>
      </c>
      <c r="C396" s="8">
        <f>CHOOSE( CONTROL!$C$32, 8.9378, 8.9326) * CHOOSE(CONTROL!$C$15, $D$11, 100%, $F$11)</f>
        <v>8.9377999999999993</v>
      </c>
      <c r="D396" s="8">
        <f>CHOOSE( CONTROL!$C$32, 8.9488, 8.9435) * CHOOSE( CONTROL!$C$15, $D$11, 100%, $F$11)</f>
        <v>8.9488000000000003</v>
      </c>
      <c r="E396" s="12">
        <f>CHOOSE( CONTROL!$C$32, 8.9432, 8.9379) * CHOOSE( CONTROL!$C$15, $D$11, 100%, $F$11)</f>
        <v>8.9431999999999992</v>
      </c>
      <c r="F396" s="4">
        <f>CHOOSE( CONTROL!$C$32, 9.9628, 9.9576) * CHOOSE(CONTROL!$C$15, $D$11, 100%, $F$11)</f>
        <v>9.9627999999999997</v>
      </c>
      <c r="G396" s="8">
        <f>CHOOSE( CONTROL!$C$32, 8.6949, 8.6897) * CHOOSE( CONTROL!$C$15, $D$11, 100%, $F$11)</f>
        <v>8.6949000000000005</v>
      </c>
      <c r="H396" s="4">
        <f>CHOOSE( CONTROL!$C$32, 9.6352, 9.6301) * CHOOSE(CONTROL!$C$15, $D$11, 100%, $F$11)</f>
        <v>9.6351999999999993</v>
      </c>
      <c r="I396" s="8">
        <f>CHOOSE( CONTROL!$C$32, 8.6175, 8.6125) * CHOOSE(CONTROL!$C$15, $D$11, 100%, $F$11)</f>
        <v>8.6174999999999997</v>
      </c>
      <c r="J396" s="4">
        <f>CHOOSE( CONTROL!$C$32, 8.5495, 8.5444) * CHOOSE(CONTROL!$C$15, $D$11, 100%, $F$11)</f>
        <v>8.5495000000000001</v>
      </c>
      <c r="K396" s="4"/>
      <c r="L396" s="9">
        <v>29.520499999999998</v>
      </c>
      <c r="M396" s="9">
        <v>12.063700000000001</v>
      </c>
      <c r="N396" s="9">
        <v>4.9444999999999997</v>
      </c>
      <c r="O396" s="9">
        <v>0.37459999999999999</v>
      </c>
      <c r="P396" s="9">
        <v>1.2192000000000001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CONTROL!$C$32, 8.7406, 8.7353) * CHOOSE(CONTROL!$C$15, $D$11, 100%, $F$11)</f>
        <v>8.7406000000000006</v>
      </c>
      <c r="C397" s="8">
        <f>CHOOSE( CONTROL!$C$32, 8.751, 8.7458) * CHOOSE(CONTROL!$C$15, $D$11, 100%, $F$11)</f>
        <v>8.7509999999999994</v>
      </c>
      <c r="D397" s="8">
        <f>CHOOSE( CONTROL!$C$32, 8.7621, 8.7569) * CHOOSE( CONTROL!$C$15, $D$11, 100%, $F$11)</f>
        <v>8.7621000000000002</v>
      </c>
      <c r="E397" s="12">
        <f>CHOOSE( CONTROL!$C$32, 8.7565, 8.7513) * CHOOSE( CONTROL!$C$15, $D$11, 100%, $F$11)</f>
        <v>8.7565000000000008</v>
      </c>
      <c r="F397" s="4">
        <f>CHOOSE( CONTROL!$C$32, 9.776, 9.7708) * CHOOSE(CONTROL!$C$15, $D$11, 100%, $F$11)</f>
        <v>9.7759999999999998</v>
      </c>
      <c r="G397" s="8">
        <f>CHOOSE( CONTROL!$C$32, 8.513, 8.5079) * CHOOSE( CONTROL!$C$15, $D$11, 100%, $F$11)</f>
        <v>8.5129999999999999</v>
      </c>
      <c r="H397" s="4">
        <f>CHOOSE( CONTROL!$C$32, 9.4532, 9.448) * CHOOSE(CONTROL!$C$15, $D$11, 100%, $F$11)</f>
        <v>9.4532000000000007</v>
      </c>
      <c r="I397" s="8">
        <f>CHOOSE( CONTROL!$C$32, 8.4391, 8.4341) * CHOOSE(CONTROL!$C$15, $D$11, 100%, $F$11)</f>
        <v>8.4390999999999998</v>
      </c>
      <c r="J397" s="4">
        <f>CHOOSE( CONTROL!$C$32, 8.3705, 8.3655) * CHOOSE(CONTROL!$C$15, $D$11, 100%, $F$11)</f>
        <v>8.3704999999999998</v>
      </c>
      <c r="K397" s="4"/>
      <c r="L397" s="9">
        <v>28.568200000000001</v>
      </c>
      <c r="M397" s="9">
        <v>11.6745</v>
      </c>
      <c r="N397" s="9">
        <v>4.7850000000000001</v>
      </c>
      <c r="O397" s="9">
        <v>0.36249999999999999</v>
      </c>
      <c r="P397" s="9">
        <v>1.1798</v>
      </c>
      <c r="Q397" s="9">
        <v>19.6128</v>
      </c>
      <c r="R397" s="9"/>
      <c r="S397" s="11"/>
    </row>
    <row r="398" spans="1:19" ht="15.75">
      <c r="A398" s="13">
        <v>53996</v>
      </c>
      <c r="B398" s="8">
        <f>9.1232 * CHOOSE(CONTROL!$C$15, $D$11, 100%, $F$11)</f>
        <v>9.1232000000000006</v>
      </c>
      <c r="C398" s="8">
        <f>9.1336 * CHOOSE(CONTROL!$C$15, $D$11, 100%, $F$11)</f>
        <v>9.1335999999999995</v>
      </c>
      <c r="D398" s="8">
        <f>9.146 * CHOOSE( CONTROL!$C$15, $D$11, 100%, $F$11)</f>
        <v>9.1460000000000008</v>
      </c>
      <c r="E398" s="12">
        <f>9.1408 * CHOOSE( CONTROL!$C$15, $D$11, 100%, $F$11)</f>
        <v>9.1408000000000005</v>
      </c>
      <c r="F398" s="4">
        <f>10.1586 * CHOOSE(CONTROL!$C$15, $D$11, 100%, $F$11)</f>
        <v>10.1586</v>
      </c>
      <c r="G398" s="8">
        <f>8.8853 * CHOOSE( CONTROL!$C$15, $D$11, 100%, $F$11)</f>
        <v>8.8853000000000009</v>
      </c>
      <c r="H398" s="4">
        <f>9.8261 * CHOOSE(CONTROL!$C$15, $D$11, 100%, $F$11)</f>
        <v>9.8261000000000003</v>
      </c>
      <c r="I398" s="8">
        <f>8.8073 * CHOOSE(CONTROL!$C$15, $D$11, 100%, $F$11)</f>
        <v>8.8072999999999997</v>
      </c>
      <c r="J398" s="4">
        <f>8.7371 * CHOOSE(CONTROL!$C$15, $D$11, 100%, $F$11)</f>
        <v>8.7370999999999999</v>
      </c>
      <c r="K398" s="4"/>
      <c r="L398" s="9">
        <v>28.921800000000001</v>
      </c>
      <c r="M398" s="9">
        <v>12.063700000000001</v>
      </c>
      <c r="N398" s="9">
        <v>4.9444999999999997</v>
      </c>
      <c r="O398" s="9">
        <v>0.37459999999999999</v>
      </c>
      <c r="P398" s="9">
        <v>1.2192000000000001</v>
      </c>
      <c r="Q398" s="9">
        <v>20.2666</v>
      </c>
      <c r="R398" s="9"/>
      <c r="S398" s="11"/>
    </row>
    <row r="399" spans="1:19" ht="15.75">
      <c r="A399" s="13">
        <v>54026</v>
      </c>
      <c r="B399" s="8">
        <f>9.839 * CHOOSE(CONTROL!$C$15, $D$11, 100%, $F$11)</f>
        <v>9.8390000000000004</v>
      </c>
      <c r="C399" s="8">
        <f>9.8495 * CHOOSE(CONTROL!$C$15, $D$11, 100%, $F$11)</f>
        <v>9.8495000000000008</v>
      </c>
      <c r="D399" s="8">
        <f>9.8332 * CHOOSE( CONTROL!$C$15, $D$11, 100%, $F$11)</f>
        <v>9.8331999999999997</v>
      </c>
      <c r="E399" s="12">
        <f>9.838 * CHOOSE( CONTROL!$C$15, $D$11, 100%, $F$11)</f>
        <v>9.8379999999999992</v>
      </c>
      <c r="F399" s="4">
        <f>10.8333 * CHOOSE(CONTROL!$C$15, $D$11, 100%, $F$11)</f>
        <v>10.833299999999999</v>
      </c>
      <c r="G399" s="8">
        <f>9.6041 * CHOOSE( CONTROL!$C$15, $D$11, 100%, $F$11)</f>
        <v>9.6041000000000007</v>
      </c>
      <c r="H399" s="4">
        <f>10.4837 * CHOOSE(CONTROL!$C$15, $D$11, 100%, $F$11)</f>
        <v>10.483700000000001</v>
      </c>
      <c r="I399" s="8">
        <f>9.5305 * CHOOSE(CONTROL!$C$15, $D$11, 100%, $F$11)</f>
        <v>9.5305</v>
      </c>
      <c r="J399" s="4">
        <f>9.423 * CHOOSE(CONTROL!$C$15, $D$11, 100%, $F$11)</f>
        <v>9.423</v>
      </c>
      <c r="K399" s="4"/>
      <c r="L399" s="9">
        <v>26.515499999999999</v>
      </c>
      <c r="M399" s="9">
        <v>11.6745</v>
      </c>
      <c r="N399" s="9">
        <v>4.7850000000000001</v>
      </c>
      <c r="O399" s="9">
        <v>0.36249999999999999</v>
      </c>
      <c r="P399" s="9">
        <v>1.2522</v>
      </c>
      <c r="Q399" s="9">
        <v>19.6128</v>
      </c>
      <c r="R399" s="9"/>
      <c r="S399" s="11"/>
    </row>
    <row r="400" spans="1:19" ht="15.75">
      <c r="A400" s="13">
        <v>54057</v>
      </c>
      <c r="B400" s="8">
        <f>9.8212 * CHOOSE(CONTROL!$C$15, $D$11, 100%, $F$11)</f>
        <v>9.8211999999999993</v>
      </c>
      <c r="C400" s="8">
        <f>9.8316 * CHOOSE(CONTROL!$C$15, $D$11, 100%, $F$11)</f>
        <v>9.8315999999999999</v>
      </c>
      <c r="D400" s="8">
        <f>9.8176 * CHOOSE( CONTROL!$C$15, $D$11, 100%, $F$11)</f>
        <v>9.8176000000000005</v>
      </c>
      <c r="E400" s="12">
        <f>9.8216 * CHOOSE( CONTROL!$C$15, $D$11, 100%, $F$11)</f>
        <v>9.8216000000000001</v>
      </c>
      <c r="F400" s="4">
        <f>10.8154 * CHOOSE(CONTROL!$C$15, $D$11, 100%, $F$11)</f>
        <v>10.8154</v>
      </c>
      <c r="G400" s="8">
        <f>9.5884 * CHOOSE( CONTROL!$C$15, $D$11, 100%, $F$11)</f>
        <v>9.5884</v>
      </c>
      <c r="H400" s="4">
        <f>10.4663 * CHOOSE(CONTROL!$C$15, $D$11, 100%, $F$11)</f>
        <v>10.4663</v>
      </c>
      <c r="I400" s="8">
        <f>9.5209 * CHOOSE(CONTROL!$C$15, $D$11, 100%, $F$11)</f>
        <v>9.5208999999999993</v>
      </c>
      <c r="J400" s="4">
        <f>9.4059 * CHOOSE(CONTROL!$C$15, $D$11, 100%, $F$11)</f>
        <v>9.4059000000000008</v>
      </c>
      <c r="K400" s="4"/>
      <c r="L400" s="9">
        <v>27.3993</v>
      </c>
      <c r="M400" s="9">
        <v>12.063700000000001</v>
      </c>
      <c r="N400" s="9">
        <v>4.9444999999999997</v>
      </c>
      <c r="O400" s="9">
        <v>0.37459999999999999</v>
      </c>
      <c r="P400" s="9">
        <v>1.2939000000000001</v>
      </c>
      <c r="Q400" s="9">
        <v>20.2666</v>
      </c>
      <c r="R400" s="9"/>
      <c r="S400" s="11"/>
    </row>
    <row r="401" spans="1:19" ht="15.75">
      <c r="A401" s="13">
        <v>54088</v>
      </c>
      <c r="B401" s="8">
        <f>10.1963 * CHOOSE(CONTROL!$C$15, $D$11, 100%, $F$11)</f>
        <v>10.196300000000001</v>
      </c>
      <c r="C401" s="8">
        <f>10.2068 * CHOOSE(CONTROL!$C$15, $D$11, 100%, $F$11)</f>
        <v>10.206799999999999</v>
      </c>
      <c r="D401" s="8">
        <f>10.2061 * CHOOSE( CONTROL!$C$15, $D$11, 100%, $F$11)</f>
        <v>10.206099999999999</v>
      </c>
      <c r="E401" s="12">
        <f>10.2052 * CHOOSE( CONTROL!$C$15, $D$11, 100%, $F$11)</f>
        <v>10.2052</v>
      </c>
      <c r="F401" s="4">
        <f>11.2192 * CHOOSE(CONTROL!$C$15, $D$11, 100%, $F$11)</f>
        <v>11.219200000000001</v>
      </c>
      <c r="G401" s="8">
        <f>9.9676 * CHOOSE( CONTROL!$C$15, $D$11, 100%, $F$11)</f>
        <v>9.9675999999999991</v>
      </c>
      <c r="H401" s="4">
        <f>10.8599 * CHOOSE(CONTROL!$C$15, $D$11, 100%, $F$11)</f>
        <v>10.8599</v>
      </c>
      <c r="I401" s="8">
        <f>9.8788 * CHOOSE(CONTROL!$C$15, $D$11, 100%, $F$11)</f>
        <v>9.8788</v>
      </c>
      <c r="J401" s="4">
        <f>9.7654 * CHOOSE(CONTROL!$C$15, $D$11, 100%, $F$11)</f>
        <v>9.7653999999999996</v>
      </c>
      <c r="K401" s="4"/>
      <c r="L401" s="9">
        <v>27.3993</v>
      </c>
      <c r="M401" s="9">
        <v>12.063700000000001</v>
      </c>
      <c r="N401" s="9">
        <v>4.9444999999999997</v>
      </c>
      <c r="O401" s="9">
        <v>0.37459999999999999</v>
      </c>
      <c r="P401" s="9">
        <v>1.2939000000000001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9.5375 * CHOOSE(CONTROL!$C$15, $D$11, 100%, $F$11)</f>
        <v>9.5374999999999996</v>
      </c>
      <c r="C402" s="8">
        <f>9.5479 * CHOOSE(CONTROL!$C$15, $D$11, 100%, $F$11)</f>
        <v>9.5479000000000003</v>
      </c>
      <c r="D402" s="8">
        <f>9.5494 * CHOOSE( CONTROL!$C$15, $D$11, 100%, $F$11)</f>
        <v>9.5494000000000003</v>
      </c>
      <c r="E402" s="12">
        <f>9.5477 * CHOOSE( CONTROL!$C$15, $D$11, 100%, $F$11)</f>
        <v>9.5477000000000007</v>
      </c>
      <c r="F402" s="4">
        <f>10.5526 * CHOOSE(CONTROL!$C$15, $D$11, 100%, $F$11)</f>
        <v>10.5526</v>
      </c>
      <c r="G402" s="8">
        <f>9.3252 * CHOOSE( CONTROL!$C$15, $D$11, 100%, $F$11)</f>
        <v>9.3252000000000006</v>
      </c>
      <c r="H402" s="4">
        <f>10.2101 * CHOOSE(CONTROL!$C$15, $D$11, 100%, $F$11)</f>
        <v>10.210100000000001</v>
      </c>
      <c r="I402" s="8">
        <f>9.2363 * CHOOSE(CONTROL!$C$15, $D$11, 100%, $F$11)</f>
        <v>9.2363</v>
      </c>
      <c r="J402" s="4">
        <f>9.1341 * CHOOSE(CONTROL!$C$15, $D$11, 100%, $F$11)</f>
        <v>9.1341000000000001</v>
      </c>
      <c r="K402" s="4"/>
      <c r="L402" s="9">
        <v>25.631599999999999</v>
      </c>
      <c r="M402" s="9">
        <v>11.285299999999999</v>
      </c>
      <c r="N402" s="9">
        <v>4.6254999999999997</v>
      </c>
      <c r="O402" s="9">
        <v>0.35039999999999999</v>
      </c>
      <c r="P402" s="9">
        <v>1.2104999999999999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9.3345 * CHOOSE(CONTROL!$C$15, $D$11, 100%, $F$11)</f>
        <v>9.3345000000000002</v>
      </c>
      <c r="C403" s="8">
        <f>9.345 * CHOOSE(CONTROL!$C$15, $D$11, 100%, $F$11)</f>
        <v>9.3450000000000006</v>
      </c>
      <c r="D403" s="8">
        <f>9.326 * CHOOSE( CONTROL!$C$15, $D$11, 100%, $F$11)</f>
        <v>9.3260000000000005</v>
      </c>
      <c r="E403" s="12">
        <f>9.3318 * CHOOSE( CONTROL!$C$15, $D$11, 100%, $F$11)</f>
        <v>9.3317999999999994</v>
      </c>
      <c r="F403" s="4">
        <f>10.3335 * CHOOSE(CONTROL!$C$15, $D$11, 100%, $F$11)</f>
        <v>10.333500000000001</v>
      </c>
      <c r="G403" s="8">
        <f>9.1067 * CHOOSE( CONTROL!$C$15, $D$11, 100%, $F$11)</f>
        <v>9.1067</v>
      </c>
      <c r="H403" s="4">
        <f>9.9965 * CHOOSE(CONTROL!$C$15, $D$11, 100%, $F$11)</f>
        <v>9.9964999999999993</v>
      </c>
      <c r="I403" s="8">
        <f>9.0022 * CHOOSE(CONTROL!$C$15, $D$11, 100%, $F$11)</f>
        <v>9.0022000000000002</v>
      </c>
      <c r="J403" s="4">
        <f>8.9396 * CHOOSE(CONTROL!$C$15, $D$11, 100%, $F$11)</f>
        <v>8.9396000000000004</v>
      </c>
      <c r="K403" s="4"/>
      <c r="L403" s="9">
        <v>27.3993</v>
      </c>
      <c r="M403" s="9">
        <v>12.063700000000001</v>
      </c>
      <c r="N403" s="9">
        <v>4.9444999999999997</v>
      </c>
      <c r="O403" s="9">
        <v>0.37459999999999999</v>
      </c>
      <c r="P403" s="9">
        <v>1.2939000000000001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9.4763 * CHOOSE(CONTROL!$C$15, $D$11, 100%, $F$11)</f>
        <v>9.4763000000000002</v>
      </c>
      <c r="C404" s="8">
        <f>9.4868 * CHOOSE(CONTROL!$C$15, $D$11, 100%, $F$11)</f>
        <v>9.4868000000000006</v>
      </c>
      <c r="D404" s="8">
        <f>9.4908 * CHOOSE( CONTROL!$C$15, $D$11, 100%, $F$11)</f>
        <v>9.4908000000000001</v>
      </c>
      <c r="E404" s="12">
        <f>9.4883 * CHOOSE( CONTROL!$C$15, $D$11, 100%, $F$11)</f>
        <v>9.4883000000000006</v>
      </c>
      <c r="F404" s="4">
        <f>10.4836 * CHOOSE(CONTROL!$C$15, $D$11, 100%, $F$11)</f>
        <v>10.483599999999999</v>
      </c>
      <c r="G404" s="8">
        <f>9.2333 * CHOOSE( CONTROL!$C$15, $D$11, 100%, $F$11)</f>
        <v>9.2332999999999998</v>
      </c>
      <c r="H404" s="4">
        <f>10.1429 * CHOOSE(CONTROL!$C$15, $D$11, 100%, $F$11)</f>
        <v>10.142899999999999</v>
      </c>
      <c r="I404" s="8">
        <f>9.1283 * CHOOSE(CONTROL!$C$15, $D$11, 100%, $F$11)</f>
        <v>9.1282999999999994</v>
      </c>
      <c r="J404" s="4">
        <f>9.0755 * CHOOSE(CONTROL!$C$15, $D$11, 100%, $F$11)</f>
        <v>9.0754999999999999</v>
      </c>
      <c r="K404" s="4"/>
      <c r="L404" s="9">
        <v>27.988800000000001</v>
      </c>
      <c r="M404" s="9">
        <v>11.6745</v>
      </c>
      <c r="N404" s="9">
        <v>4.7850000000000001</v>
      </c>
      <c r="O404" s="9">
        <v>0.36249999999999999</v>
      </c>
      <c r="P404" s="9">
        <v>1.1798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CONTROL!$C$32, 9.734, 9.7287) * CHOOSE(CONTROL!$C$15, $D$11, 100%, $F$11)</f>
        <v>9.734</v>
      </c>
      <c r="C405" s="8">
        <f>CHOOSE( CONTROL!$C$32, 9.7444, 9.7392) * CHOOSE(CONTROL!$C$15, $D$11, 100%, $F$11)</f>
        <v>9.7444000000000006</v>
      </c>
      <c r="D405" s="8">
        <f>CHOOSE( CONTROL!$C$32, 9.7572, 9.752) * CHOOSE( CONTROL!$C$15, $D$11, 100%, $F$11)</f>
        <v>9.7571999999999992</v>
      </c>
      <c r="E405" s="12">
        <f>CHOOSE( CONTROL!$C$32, 9.751, 9.7458) * CHOOSE( CONTROL!$C$15, $D$11, 100%, $F$11)</f>
        <v>9.7509999999999994</v>
      </c>
      <c r="F405" s="4">
        <f>CHOOSE( CONTROL!$C$32, 10.7569, 10.7516) * CHOOSE(CONTROL!$C$15, $D$11, 100%, $F$11)</f>
        <v>10.7569</v>
      </c>
      <c r="G405" s="8">
        <f>CHOOSE( CONTROL!$C$32, 9.49, 9.4849) * CHOOSE( CONTROL!$C$15, $D$11, 100%, $F$11)</f>
        <v>9.49</v>
      </c>
      <c r="H405" s="4">
        <f>CHOOSE( CONTROL!$C$32, 10.4093, 10.4041) * CHOOSE(CONTROL!$C$15, $D$11, 100%, $F$11)</f>
        <v>10.4093</v>
      </c>
      <c r="I405" s="8">
        <f>CHOOSE( CONTROL!$C$32, 9.3805, 9.3755) * CHOOSE(CONTROL!$C$15, $D$11, 100%, $F$11)</f>
        <v>9.3804999999999996</v>
      </c>
      <c r="J405" s="4">
        <f>CHOOSE( CONTROL!$C$32, 9.3223, 9.3173) * CHOOSE(CONTROL!$C$15, $D$11, 100%, $F$11)</f>
        <v>9.3223000000000003</v>
      </c>
      <c r="K405" s="4"/>
      <c r="L405" s="9">
        <v>29.520499999999998</v>
      </c>
      <c r="M405" s="9">
        <v>12.063700000000001</v>
      </c>
      <c r="N405" s="9">
        <v>4.9444999999999997</v>
      </c>
      <c r="O405" s="9">
        <v>0.37459999999999999</v>
      </c>
      <c r="P405" s="9">
        <v>1.2192000000000001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CONTROL!$C$32, 9.5776, 9.5724) * CHOOSE(CONTROL!$C$15, $D$11, 100%, $F$11)</f>
        <v>9.5776000000000003</v>
      </c>
      <c r="C406" s="8">
        <f>CHOOSE( CONTROL!$C$32, 9.5881, 9.5828) * CHOOSE(CONTROL!$C$15, $D$11, 100%, $F$11)</f>
        <v>9.5881000000000007</v>
      </c>
      <c r="D406" s="8">
        <f>CHOOSE( CONTROL!$C$32, 9.6085, 9.6033) * CHOOSE( CONTROL!$C$15, $D$11, 100%, $F$11)</f>
        <v>9.6084999999999994</v>
      </c>
      <c r="E406" s="12">
        <f>CHOOSE( CONTROL!$C$32, 9.5995, 9.5943) * CHOOSE( CONTROL!$C$15, $D$11, 100%, $F$11)</f>
        <v>9.5995000000000008</v>
      </c>
      <c r="F406" s="4">
        <f>CHOOSE( CONTROL!$C$32, 10.6131, 10.6078) * CHOOSE(CONTROL!$C$15, $D$11, 100%, $F$11)</f>
        <v>10.613099999999999</v>
      </c>
      <c r="G406" s="8">
        <f>CHOOSE( CONTROL!$C$32, 9.3415, 9.3363) * CHOOSE( CONTROL!$C$15, $D$11, 100%, $F$11)</f>
        <v>9.3414999999999999</v>
      </c>
      <c r="H406" s="4">
        <f>CHOOSE( CONTROL!$C$32, 10.2691, 10.2639) * CHOOSE(CONTROL!$C$15, $D$11, 100%, $F$11)</f>
        <v>10.2691</v>
      </c>
      <c r="I406" s="8">
        <f>CHOOSE( CONTROL!$C$32, 9.2359, 9.2309) * CHOOSE(CONTROL!$C$15, $D$11, 100%, $F$11)</f>
        <v>9.2359000000000009</v>
      </c>
      <c r="J406" s="4">
        <f>CHOOSE( CONTROL!$C$32, 9.1725, 9.1675) * CHOOSE(CONTROL!$C$15, $D$11, 100%, $F$11)</f>
        <v>9.1724999999999994</v>
      </c>
      <c r="K406" s="4"/>
      <c r="L406" s="9">
        <v>28.568200000000001</v>
      </c>
      <c r="M406" s="9">
        <v>11.6745</v>
      </c>
      <c r="N406" s="9">
        <v>4.7850000000000001</v>
      </c>
      <c r="O406" s="9">
        <v>0.36249999999999999</v>
      </c>
      <c r="P406" s="9">
        <v>1.1798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CONTROL!$C$32, 9.9893, 9.9841) * CHOOSE(CONTROL!$C$15, $D$11, 100%, $F$11)</f>
        <v>9.9893000000000001</v>
      </c>
      <c r="C407" s="8">
        <f>CHOOSE( CONTROL!$C$32, 9.9998, 9.9945) * CHOOSE(CONTROL!$C$15, $D$11, 100%, $F$11)</f>
        <v>9.9998000000000005</v>
      </c>
      <c r="D407" s="8">
        <f>CHOOSE( CONTROL!$C$32, 10.0104, 10.0051) * CHOOSE( CONTROL!$C$15, $D$11, 100%, $F$11)</f>
        <v>10.010400000000001</v>
      </c>
      <c r="E407" s="12">
        <f>CHOOSE( CONTROL!$C$32, 10.005, 9.9997) * CHOOSE( CONTROL!$C$15, $D$11, 100%, $F$11)</f>
        <v>10.005000000000001</v>
      </c>
      <c r="F407" s="4">
        <f>CHOOSE( CONTROL!$C$32, 11.0248, 11.0195) * CHOOSE(CONTROL!$C$15, $D$11, 100%, $F$11)</f>
        <v>11.024800000000001</v>
      </c>
      <c r="G407" s="8">
        <f>CHOOSE( CONTROL!$C$32, 9.7295, 9.7244) * CHOOSE( CONTROL!$C$15, $D$11, 100%, $F$11)</f>
        <v>9.7294999999999998</v>
      </c>
      <c r="H407" s="4">
        <f>CHOOSE( CONTROL!$C$32, 10.6704, 10.6653) * CHOOSE(CONTROL!$C$15, $D$11, 100%, $F$11)</f>
        <v>10.670400000000001</v>
      </c>
      <c r="I407" s="8">
        <f>CHOOSE( CONTROL!$C$32, 9.634, 9.6289) * CHOOSE(CONTROL!$C$15, $D$11, 100%, $F$11)</f>
        <v>9.6340000000000003</v>
      </c>
      <c r="J407" s="4">
        <f>CHOOSE( CONTROL!$C$32, 9.567, 9.562) * CHOOSE(CONTROL!$C$15, $D$11, 100%, $F$11)</f>
        <v>9.5670000000000002</v>
      </c>
      <c r="K407" s="4"/>
      <c r="L407" s="9">
        <v>29.520499999999998</v>
      </c>
      <c r="M407" s="9">
        <v>12.063700000000001</v>
      </c>
      <c r="N407" s="9">
        <v>4.9444999999999997</v>
      </c>
      <c r="O407" s="9">
        <v>0.37459999999999999</v>
      </c>
      <c r="P407" s="9">
        <v>1.2192000000000001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CONTROL!$C$32, 9.219, 9.2138) * CHOOSE(CONTROL!$C$15, $D$11, 100%, $F$11)</f>
        <v>9.2189999999999994</v>
      </c>
      <c r="C408" s="8">
        <f>CHOOSE( CONTROL!$C$32, 9.2295, 9.2242) * CHOOSE(CONTROL!$C$15, $D$11, 100%, $F$11)</f>
        <v>9.2294999999999998</v>
      </c>
      <c r="D408" s="8">
        <f>CHOOSE( CONTROL!$C$32, 9.2404, 9.2351) * CHOOSE( CONTROL!$C$15, $D$11, 100%, $F$11)</f>
        <v>9.2403999999999993</v>
      </c>
      <c r="E408" s="12">
        <f>CHOOSE( CONTROL!$C$32, 9.2348, 9.2296) * CHOOSE( CONTROL!$C$15, $D$11, 100%, $F$11)</f>
        <v>9.2347999999999999</v>
      </c>
      <c r="F408" s="4">
        <f>CHOOSE( CONTROL!$C$32, 10.2544, 10.2492) * CHOOSE(CONTROL!$C$15, $D$11, 100%, $F$11)</f>
        <v>10.2544</v>
      </c>
      <c r="G408" s="8">
        <f>CHOOSE( CONTROL!$C$32, 8.9791, 8.974) * CHOOSE( CONTROL!$C$15, $D$11, 100%, $F$11)</f>
        <v>8.9791000000000007</v>
      </c>
      <c r="H408" s="4">
        <f>CHOOSE( CONTROL!$C$32, 9.9195, 9.9144) * CHOOSE(CONTROL!$C$15, $D$11, 100%, $F$11)</f>
        <v>9.9194999999999993</v>
      </c>
      <c r="I408" s="8">
        <f>CHOOSE( CONTROL!$C$32, 8.8971, 8.892) * CHOOSE(CONTROL!$C$15, $D$11, 100%, $F$11)</f>
        <v>8.8971</v>
      </c>
      <c r="J408" s="4">
        <f>CHOOSE( CONTROL!$C$32, 8.8289, 8.8239) * CHOOSE(CONTROL!$C$15, $D$11, 100%, $F$11)</f>
        <v>8.8289000000000009</v>
      </c>
      <c r="K408" s="4"/>
      <c r="L408" s="9">
        <v>29.520499999999998</v>
      </c>
      <c r="M408" s="9">
        <v>12.063700000000001</v>
      </c>
      <c r="N408" s="9">
        <v>4.9444999999999997</v>
      </c>
      <c r="O408" s="9">
        <v>0.37459999999999999</v>
      </c>
      <c r="P408" s="9">
        <v>1.2192000000000001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CONTROL!$C$32, 9.0261, 9.0209) * CHOOSE(CONTROL!$C$15, $D$11, 100%, $F$11)</f>
        <v>9.0260999999999996</v>
      </c>
      <c r="C409" s="8">
        <f>CHOOSE( CONTROL!$C$32, 9.0366, 9.0313) * CHOOSE(CONTROL!$C$15, $D$11, 100%, $F$11)</f>
        <v>9.0366</v>
      </c>
      <c r="D409" s="8">
        <f>CHOOSE( CONTROL!$C$32, 9.0476, 9.0424) * CHOOSE( CONTROL!$C$15, $D$11, 100%, $F$11)</f>
        <v>9.0475999999999992</v>
      </c>
      <c r="E409" s="12">
        <f>CHOOSE( CONTROL!$C$32, 9.042, 9.0368) * CHOOSE( CONTROL!$C$15, $D$11, 100%, $F$11)</f>
        <v>9.0419999999999998</v>
      </c>
      <c r="F409" s="4">
        <f>CHOOSE( CONTROL!$C$32, 10.0616, 10.0563) * CHOOSE(CONTROL!$C$15, $D$11, 100%, $F$11)</f>
        <v>10.0616</v>
      </c>
      <c r="G409" s="8">
        <f>CHOOSE( CONTROL!$C$32, 8.7913, 8.7862) * CHOOSE( CONTROL!$C$15, $D$11, 100%, $F$11)</f>
        <v>8.7912999999999997</v>
      </c>
      <c r="H409" s="4">
        <f>CHOOSE( CONTROL!$C$32, 9.7315, 9.7263) * CHOOSE(CONTROL!$C$15, $D$11, 100%, $F$11)</f>
        <v>9.7315000000000005</v>
      </c>
      <c r="I409" s="8">
        <f>CHOOSE( CONTROL!$C$32, 8.7129, 8.7078) * CHOOSE(CONTROL!$C$15, $D$11, 100%, $F$11)</f>
        <v>8.7128999999999994</v>
      </c>
      <c r="J409" s="4">
        <f>CHOOSE( CONTROL!$C$32, 8.6441, 8.639) * CHOOSE(CONTROL!$C$15, $D$11, 100%, $F$11)</f>
        <v>8.6440999999999999</v>
      </c>
      <c r="K409" s="4"/>
      <c r="L409" s="9">
        <v>28.568200000000001</v>
      </c>
      <c r="M409" s="9">
        <v>11.6745</v>
      </c>
      <c r="N409" s="9">
        <v>4.7850000000000001</v>
      </c>
      <c r="O409" s="9">
        <v>0.36249999999999999</v>
      </c>
      <c r="P409" s="9">
        <v>1.1798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9.4214 * CHOOSE(CONTROL!$C$15, $D$11, 100%, $F$11)</f>
        <v>9.4214000000000002</v>
      </c>
      <c r="C410" s="8">
        <f>9.4318 * CHOOSE(CONTROL!$C$15, $D$11, 100%, $F$11)</f>
        <v>9.4318000000000008</v>
      </c>
      <c r="D410" s="8">
        <f>9.4442 * CHOOSE( CONTROL!$C$15, $D$11, 100%, $F$11)</f>
        <v>9.4442000000000004</v>
      </c>
      <c r="E410" s="12">
        <f>9.439 * CHOOSE( CONTROL!$C$15, $D$11, 100%, $F$11)</f>
        <v>9.4390000000000001</v>
      </c>
      <c r="F410" s="4">
        <f>10.4568 * CHOOSE(CONTROL!$C$15, $D$11, 100%, $F$11)</f>
        <v>10.456799999999999</v>
      </c>
      <c r="G410" s="8">
        <f>9.176 * CHOOSE( CONTROL!$C$15, $D$11, 100%, $F$11)</f>
        <v>9.1760000000000002</v>
      </c>
      <c r="H410" s="4">
        <f>10.1168 * CHOOSE(CONTROL!$C$15, $D$11, 100%, $F$11)</f>
        <v>10.1168</v>
      </c>
      <c r="I410" s="8">
        <f>9.0932 * CHOOSE(CONTROL!$C$15, $D$11, 100%, $F$11)</f>
        <v>9.0931999999999995</v>
      </c>
      <c r="J410" s="4">
        <f>9.0228 * CHOOSE(CONTROL!$C$15, $D$11, 100%, $F$11)</f>
        <v>9.0228000000000002</v>
      </c>
      <c r="K410" s="4"/>
      <c r="L410" s="9">
        <v>28.921800000000001</v>
      </c>
      <c r="M410" s="9">
        <v>12.063700000000001</v>
      </c>
      <c r="N410" s="9">
        <v>4.9444999999999997</v>
      </c>
      <c r="O410" s="9">
        <v>0.37459999999999999</v>
      </c>
      <c r="P410" s="9">
        <v>1.2192000000000001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10.1607 * CHOOSE(CONTROL!$C$15, $D$11, 100%, $F$11)</f>
        <v>10.1607</v>
      </c>
      <c r="C411" s="8">
        <f>10.1711 * CHOOSE(CONTROL!$C$15, $D$11, 100%, $F$11)</f>
        <v>10.171099999999999</v>
      </c>
      <c r="D411" s="8">
        <f>10.1548 * CHOOSE( CONTROL!$C$15, $D$11, 100%, $F$11)</f>
        <v>10.1548</v>
      </c>
      <c r="E411" s="12">
        <f>10.1597 * CHOOSE( CONTROL!$C$15, $D$11, 100%, $F$11)</f>
        <v>10.159700000000001</v>
      </c>
      <c r="F411" s="4">
        <f>11.1549 * CHOOSE(CONTROL!$C$15, $D$11, 100%, $F$11)</f>
        <v>11.1549</v>
      </c>
      <c r="G411" s="8">
        <f>9.9176 * CHOOSE( CONTROL!$C$15, $D$11, 100%, $F$11)</f>
        <v>9.9176000000000002</v>
      </c>
      <c r="H411" s="4">
        <f>10.7972 * CHOOSE(CONTROL!$C$15, $D$11, 100%, $F$11)</f>
        <v>10.7972</v>
      </c>
      <c r="I411" s="8">
        <f>9.8388 * CHOOSE(CONTROL!$C$15, $D$11, 100%, $F$11)</f>
        <v>9.8388000000000009</v>
      </c>
      <c r="J411" s="4">
        <f>9.7312 * CHOOSE(CONTROL!$C$15, $D$11, 100%, $F$11)</f>
        <v>9.7311999999999994</v>
      </c>
      <c r="K411" s="4"/>
      <c r="L411" s="9">
        <v>26.515499999999999</v>
      </c>
      <c r="M411" s="9">
        <v>11.6745</v>
      </c>
      <c r="N411" s="9">
        <v>4.7850000000000001</v>
      </c>
      <c r="O411" s="9">
        <v>0.36249999999999999</v>
      </c>
      <c r="P411" s="9">
        <v>1.2522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10.1422 * CHOOSE(CONTROL!$C$15, $D$11, 100%, $F$11)</f>
        <v>10.142200000000001</v>
      </c>
      <c r="C412" s="8">
        <f>10.1526 * CHOOSE(CONTROL!$C$15, $D$11, 100%, $F$11)</f>
        <v>10.1526</v>
      </c>
      <c r="D412" s="8">
        <f>10.1387 * CHOOSE( CONTROL!$C$15, $D$11, 100%, $F$11)</f>
        <v>10.1387</v>
      </c>
      <c r="E412" s="12">
        <f>10.1427 * CHOOSE( CONTROL!$C$15, $D$11, 100%, $F$11)</f>
        <v>10.1427</v>
      </c>
      <c r="F412" s="4">
        <f>11.1364 * CHOOSE(CONTROL!$C$15, $D$11, 100%, $F$11)</f>
        <v>11.1364</v>
      </c>
      <c r="G412" s="8">
        <f>9.9013 * CHOOSE( CONTROL!$C$15, $D$11, 100%, $F$11)</f>
        <v>9.9013000000000009</v>
      </c>
      <c r="H412" s="4">
        <f>10.7792 * CHOOSE(CONTROL!$C$15, $D$11, 100%, $F$11)</f>
        <v>10.779199999999999</v>
      </c>
      <c r="I412" s="8">
        <f>9.8286 * CHOOSE(CONTROL!$C$15, $D$11, 100%, $F$11)</f>
        <v>9.8285999999999998</v>
      </c>
      <c r="J412" s="4">
        <f>9.7135 * CHOOSE(CONTROL!$C$15, $D$11, 100%, $F$11)</f>
        <v>9.7134999999999998</v>
      </c>
      <c r="K412" s="4"/>
      <c r="L412" s="9">
        <v>27.3993</v>
      </c>
      <c r="M412" s="9">
        <v>12.063700000000001</v>
      </c>
      <c r="N412" s="9">
        <v>4.9444999999999997</v>
      </c>
      <c r="O412" s="9">
        <v>0.37459999999999999</v>
      </c>
      <c r="P412" s="9">
        <v>1.2939000000000001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10.5296 * CHOOSE(CONTROL!$C$15, $D$11, 100%, $F$11)</f>
        <v>10.5296</v>
      </c>
      <c r="C413" s="8">
        <f>10.5401 * CHOOSE(CONTROL!$C$15, $D$11, 100%, $F$11)</f>
        <v>10.540100000000001</v>
      </c>
      <c r="D413" s="8">
        <f>10.5394 * CHOOSE( CONTROL!$C$15, $D$11, 100%, $F$11)</f>
        <v>10.539400000000001</v>
      </c>
      <c r="E413" s="12">
        <f>10.5385 * CHOOSE( CONTROL!$C$15, $D$11, 100%, $F$11)</f>
        <v>10.538500000000001</v>
      </c>
      <c r="F413" s="4">
        <f>11.5525 * CHOOSE(CONTROL!$C$15, $D$11, 100%, $F$11)</f>
        <v>11.5525</v>
      </c>
      <c r="G413" s="8">
        <f>10.2925 * CHOOSE( CONTROL!$C$15, $D$11, 100%, $F$11)</f>
        <v>10.2925</v>
      </c>
      <c r="H413" s="4">
        <f>11.1848 * CHOOSE(CONTROL!$C$15, $D$11, 100%, $F$11)</f>
        <v>11.184799999999999</v>
      </c>
      <c r="I413" s="8">
        <f>10.1984 * CHOOSE(CONTROL!$C$15, $D$11, 100%, $F$11)</f>
        <v>10.198399999999999</v>
      </c>
      <c r="J413" s="4">
        <f>10.0847 * CHOOSE(CONTROL!$C$15, $D$11, 100%, $F$11)</f>
        <v>10.0847</v>
      </c>
      <c r="K413" s="4"/>
      <c r="L413" s="9">
        <v>27.3993</v>
      </c>
      <c r="M413" s="9">
        <v>12.063700000000001</v>
      </c>
      <c r="N413" s="9">
        <v>4.9444999999999997</v>
      </c>
      <c r="O413" s="9">
        <v>0.37459999999999999</v>
      </c>
      <c r="P413" s="9">
        <v>1.2939000000000001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9.8492 * CHOOSE(CONTROL!$C$15, $D$11, 100%, $F$11)</f>
        <v>9.8491999999999997</v>
      </c>
      <c r="C414" s="8">
        <f>9.8597 * CHOOSE(CONTROL!$C$15, $D$11, 100%, $F$11)</f>
        <v>9.8597000000000001</v>
      </c>
      <c r="D414" s="8">
        <f>9.8612 * CHOOSE( CONTROL!$C$15, $D$11, 100%, $F$11)</f>
        <v>9.8612000000000002</v>
      </c>
      <c r="E414" s="12">
        <f>9.8595 * CHOOSE( CONTROL!$C$15, $D$11, 100%, $F$11)</f>
        <v>9.8595000000000006</v>
      </c>
      <c r="F414" s="4">
        <f>10.8643 * CHOOSE(CONTROL!$C$15, $D$11, 100%, $F$11)</f>
        <v>10.8643</v>
      </c>
      <c r="G414" s="8">
        <f>9.6291 * CHOOSE( CONTROL!$C$15, $D$11, 100%, $F$11)</f>
        <v>9.6290999999999993</v>
      </c>
      <c r="H414" s="4">
        <f>10.514 * CHOOSE(CONTROL!$C$15, $D$11, 100%, $F$11)</f>
        <v>10.513999999999999</v>
      </c>
      <c r="I414" s="8">
        <f>9.5351 * CHOOSE(CONTROL!$C$15, $D$11, 100%, $F$11)</f>
        <v>9.5350999999999999</v>
      </c>
      <c r="J414" s="4">
        <f>9.4328 * CHOOSE(CONTROL!$C$15, $D$11, 100%, $F$11)</f>
        <v>9.4328000000000003</v>
      </c>
      <c r="K414" s="4"/>
      <c r="L414" s="9">
        <v>24.747800000000002</v>
      </c>
      <c r="M414" s="9">
        <v>10.8962</v>
      </c>
      <c r="N414" s="9">
        <v>4.4660000000000002</v>
      </c>
      <c r="O414" s="9">
        <v>0.33829999999999999</v>
      </c>
      <c r="P414" s="9">
        <v>1.1687000000000001</v>
      </c>
      <c r="Q414" s="9">
        <v>18.1877</v>
      </c>
      <c r="R414" s="9"/>
      <c r="S414" s="11"/>
    </row>
    <row r="415" spans="1:19" ht="15.75">
      <c r="A415" s="13">
        <v>54513</v>
      </c>
      <c r="B415" s="8">
        <f>9.6397 * CHOOSE(CONTROL!$C$15, $D$11, 100%, $F$11)</f>
        <v>9.6396999999999995</v>
      </c>
      <c r="C415" s="8">
        <f>9.6501 * CHOOSE(CONTROL!$C$15, $D$11, 100%, $F$11)</f>
        <v>9.6501000000000001</v>
      </c>
      <c r="D415" s="8">
        <f>9.6311 * CHOOSE( CONTROL!$C$15, $D$11, 100%, $F$11)</f>
        <v>9.6311</v>
      </c>
      <c r="E415" s="12">
        <f>9.6369 * CHOOSE( CONTROL!$C$15, $D$11, 100%, $F$11)</f>
        <v>9.6369000000000007</v>
      </c>
      <c r="F415" s="4">
        <f>10.6386 * CHOOSE(CONTROL!$C$15, $D$11, 100%, $F$11)</f>
        <v>10.6386</v>
      </c>
      <c r="G415" s="8">
        <f>9.4041 * CHOOSE( CONTROL!$C$15, $D$11, 100%, $F$11)</f>
        <v>9.4040999999999997</v>
      </c>
      <c r="H415" s="4">
        <f>10.2939 * CHOOSE(CONTROL!$C$15, $D$11, 100%, $F$11)</f>
        <v>10.293900000000001</v>
      </c>
      <c r="I415" s="8">
        <f>9.2947 * CHOOSE(CONTROL!$C$15, $D$11, 100%, $F$11)</f>
        <v>9.2947000000000006</v>
      </c>
      <c r="J415" s="4">
        <f>9.232 * CHOOSE(CONTROL!$C$15, $D$11, 100%, $F$11)</f>
        <v>9.2319999999999993</v>
      </c>
      <c r="K415" s="4"/>
      <c r="L415" s="9">
        <v>27.3993</v>
      </c>
      <c r="M415" s="9">
        <v>12.063700000000001</v>
      </c>
      <c r="N415" s="9">
        <v>4.9444999999999997</v>
      </c>
      <c r="O415" s="9">
        <v>0.37459999999999999</v>
      </c>
      <c r="P415" s="9">
        <v>1.2939000000000001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9.7861 * CHOOSE(CONTROL!$C$15, $D$11, 100%, $F$11)</f>
        <v>9.7860999999999994</v>
      </c>
      <c r="C416" s="8">
        <f>9.7965 * CHOOSE(CONTROL!$C$15, $D$11, 100%, $F$11)</f>
        <v>9.7965</v>
      </c>
      <c r="D416" s="8">
        <f>9.8006 * CHOOSE( CONTROL!$C$15, $D$11, 100%, $F$11)</f>
        <v>9.8005999999999993</v>
      </c>
      <c r="E416" s="12">
        <f>9.7981 * CHOOSE( CONTROL!$C$15, $D$11, 100%, $F$11)</f>
        <v>9.7980999999999998</v>
      </c>
      <c r="F416" s="4">
        <f>10.7934 * CHOOSE(CONTROL!$C$15, $D$11, 100%, $F$11)</f>
        <v>10.7934</v>
      </c>
      <c r="G416" s="8">
        <f>9.5352 * CHOOSE( CONTROL!$C$15, $D$11, 100%, $F$11)</f>
        <v>9.5351999999999997</v>
      </c>
      <c r="H416" s="4">
        <f>10.4448 * CHOOSE(CONTROL!$C$15, $D$11, 100%, $F$11)</f>
        <v>10.444800000000001</v>
      </c>
      <c r="I416" s="8">
        <f>9.4252 * CHOOSE(CONTROL!$C$15, $D$11, 100%, $F$11)</f>
        <v>9.4252000000000002</v>
      </c>
      <c r="J416" s="4">
        <f>9.3723 * CHOOSE(CONTROL!$C$15, $D$11, 100%, $F$11)</f>
        <v>9.3722999999999992</v>
      </c>
      <c r="K416" s="4"/>
      <c r="L416" s="9">
        <v>27.988800000000001</v>
      </c>
      <c r="M416" s="9">
        <v>11.6745</v>
      </c>
      <c r="N416" s="9">
        <v>4.7850000000000001</v>
      </c>
      <c r="O416" s="9">
        <v>0.36249999999999999</v>
      </c>
      <c r="P416" s="9">
        <v>1.1798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CONTROL!$C$32, 10.052, 10.0467) * CHOOSE(CONTROL!$C$15, $D$11, 100%, $F$11)</f>
        <v>10.052</v>
      </c>
      <c r="C417" s="8">
        <f>CHOOSE( CONTROL!$C$32, 10.0624, 10.0572) * CHOOSE(CONTROL!$C$15, $D$11, 100%, $F$11)</f>
        <v>10.0624</v>
      </c>
      <c r="D417" s="8">
        <f>CHOOSE( CONTROL!$C$32, 10.0753, 10.07) * CHOOSE( CONTROL!$C$15, $D$11, 100%, $F$11)</f>
        <v>10.0753</v>
      </c>
      <c r="E417" s="12">
        <f>CHOOSE( CONTROL!$C$32, 10.069, 10.0638) * CHOOSE( CONTROL!$C$15, $D$11, 100%, $F$11)</f>
        <v>10.069000000000001</v>
      </c>
      <c r="F417" s="4">
        <f>CHOOSE( CONTROL!$C$32, 11.0749, 11.0696) * CHOOSE(CONTROL!$C$15, $D$11, 100%, $F$11)</f>
        <v>11.0749</v>
      </c>
      <c r="G417" s="8">
        <f>CHOOSE( CONTROL!$C$32, 9.8, 9.7948) * CHOOSE( CONTROL!$C$15, $D$11, 100%, $F$11)</f>
        <v>9.8000000000000007</v>
      </c>
      <c r="H417" s="4">
        <f>CHOOSE( CONTROL!$C$32, 10.7192, 10.7141) * CHOOSE(CONTROL!$C$15, $D$11, 100%, $F$11)</f>
        <v>10.719200000000001</v>
      </c>
      <c r="I417" s="8">
        <f>CHOOSE( CONTROL!$C$32, 9.6854, 9.6804) * CHOOSE(CONTROL!$C$15, $D$11, 100%, $F$11)</f>
        <v>9.6853999999999996</v>
      </c>
      <c r="J417" s="4">
        <f>CHOOSE( CONTROL!$C$32, 9.627, 9.622) * CHOOSE(CONTROL!$C$15, $D$11, 100%, $F$11)</f>
        <v>9.6270000000000007</v>
      </c>
      <c r="K417" s="4"/>
      <c r="L417" s="9">
        <v>29.520499999999998</v>
      </c>
      <c r="M417" s="9">
        <v>12.063700000000001</v>
      </c>
      <c r="N417" s="9">
        <v>4.9444999999999997</v>
      </c>
      <c r="O417" s="9">
        <v>0.37459999999999999</v>
      </c>
      <c r="P417" s="9">
        <v>1.2192000000000001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CONTROL!$C$32, 9.8905, 9.8853) * CHOOSE(CONTROL!$C$15, $D$11, 100%, $F$11)</f>
        <v>9.8904999999999994</v>
      </c>
      <c r="C418" s="8">
        <f>CHOOSE( CONTROL!$C$32, 9.901, 9.8957) * CHOOSE(CONTROL!$C$15, $D$11, 100%, $F$11)</f>
        <v>9.9009999999999998</v>
      </c>
      <c r="D418" s="8">
        <f>CHOOSE( CONTROL!$C$32, 9.9214, 9.9161) * CHOOSE( CONTROL!$C$15, $D$11, 100%, $F$11)</f>
        <v>9.9214000000000002</v>
      </c>
      <c r="E418" s="12">
        <f>CHOOSE( CONTROL!$C$32, 9.9124, 9.9071) * CHOOSE( CONTROL!$C$15, $D$11, 100%, $F$11)</f>
        <v>9.9123999999999999</v>
      </c>
      <c r="F418" s="4">
        <f>CHOOSE( CONTROL!$C$32, 10.926, 10.9207) * CHOOSE(CONTROL!$C$15, $D$11, 100%, $F$11)</f>
        <v>10.926</v>
      </c>
      <c r="G418" s="8">
        <f>CHOOSE( CONTROL!$C$32, 9.6465, 9.6413) * CHOOSE( CONTROL!$C$15, $D$11, 100%, $F$11)</f>
        <v>9.6464999999999996</v>
      </c>
      <c r="H418" s="4">
        <f>CHOOSE( CONTROL!$C$32, 10.5741, 10.5689) * CHOOSE(CONTROL!$C$15, $D$11, 100%, $F$11)</f>
        <v>10.5741</v>
      </c>
      <c r="I418" s="8">
        <f>CHOOSE( CONTROL!$C$32, 9.5359, 9.5308) * CHOOSE(CONTROL!$C$15, $D$11, 100%, $F$11)</f>
        <v>9.5358999999999998</v>
      </c>
      <c r="J418" s="4">
        <f>CHOOSE( CONTROL!$C$32, 9.4724, 9.4673) * CHOOSE(CONTROL!$C$15, $D$11, 100%, $F$11)</f>
        <v>9.4724000000000004</v>
      </c>
      <c r="K418" s="4"/>
      <c r="L418" s="9">
        <v>28.568200000000001</v>
      </c>
      <c r="M418" s="9">
        <v>11.6745</v>
      </c>
      <c r="N418" s="9">
        <v>4.7850000000000001</v>
      </c>
      <c r="O418" s="9">
        <v>0.36249999999999999</v>
      </c>
      <c r="P418" s="9">
        <v>1.1798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CONTROL!$C$32, 10.3157, 10.3104) * CHOOSE(CONTROL!$C$15, $D$11, 100%, $F$11)</f>
        <v>10.3157</v>
      </c>
      <c r="C419" s="8">
        <f>CHOOSE( CONTROL!$C$32, 10.3261, 10.3209) * CHOOSE(CONTROL!$C$15, $D$11, 100%, $F$11)</f>
        <v>10.3261</v>
      </c>
      <c r="D419" s="8">
        <f>CHOOSE( CONTROL!$C$32, 10.3367, 10.3315) * CHOOSE( CONTROL!$C$15, $D$11, 100%, $F$11)</f>
        <v>10.3367</v>
      </c>
      <c r="E419" s="12">
        <f>CHOOSE( CONTROL!$C$32, 10.3313, 10.3261) * CHOOSE( CONTROL!$C$15, $D$11, 100%, $F$11)</f>
        <v>10.331300000000001</v>
      </c>
      <c r="F419" s="4">
        <f>CHOOSE( CONTROL!$C$32, 11.3511, 11.3459) * CHOOSE(CONTROL!$C$15, $D$11, 100%, $F$11)</f>
        <v>11.351100000000001</v>
      </c>
      <c r="G419" s="8">
        <f>CHOOSE( CONTROL!$C$32, 10.0476, 10.0425) * CHOOSE( CONTROL!$C$15, $D$11, 100%, $F$11)</f>
        <v>10.047599999999999</v>
      </c>
      <c r="H419" s="4">
        <f>CHOOSE( CONTROL!$C$32, 10.9885, 10.9834) * CHOOSE(CONTROL!$C$15, $D$11, 100%, $F$11)</f>
        <v>10.9885</v>
      </c>
      <c r="I419" s="8">
        <f>CHOOSE( CONTROL!$C$32, 9.9468, 9.9418) * CHOOSE(CONTROL!$C$15, $D$11, 100%, $F$11)</f>
        <v>9.9467999999999996</v>
      </c>
      <c r="J419" s="4">
        <f>CHOOSE( CONTROL!$C$32, 9.8797, 9.8747) * CHOOSE(CONTROL!$C$15, $D$11, 100%, $F$11)</f>
        <v>9.8796999999999997</v>
      </c>
      <c r="K419" s="4"/>
      <c r="L419" s="9">
        <v>29.520499999999998</v>
      </c>
      <c r="M419" s="9">
        <v>12.063700000000001</v>
      </c>
      <c r="N419" s="9">
        <v>4.9444999999999997</v>
      </c>
      <c r="O419" s="9">
        <v>0.37459999999999999</v>
      </c>
      <c r="P419" s="9">
        <v>1.2192000000000001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CONTROL!$C$32, 9.5202, 9.5149) * CHOOSE(CONTROL!$C$15, $D$11, 100%, $F$11)</f>
        <v>9.5202000000000009</v>
      </c>
      <c r="C420" s="8">
        <f>CHOOSE( CONTROL!$C$32, 9.5306, 9.5254) * CHOOSE(CONTROL!$C$15, $D$11, 100%, $F$11)</f>
        <v>9.5305999999999997</v>
      </c>
      <c r="D420" s="8">
        <f>CHOOSE( CONTROL!$C$32, 9.5415, 9.5363) * CHOOSE( CONTROL!$C$15, $D$11, 100%, $F$11)</f>
        <v>9.5414999999999992</v>
      </c>
      <c r="E420" s="12">
        <f>CHOOSE( CONTROL!$C$32, 9.536, 9.5307) * CHOOSE( CONTROL!$C$15, $D$11, 100%, $F$11)</f>
        <v>9.5359999999999996</v>
      </c>
      <c r="F420" s="4">
        <f>CHOOSE( CONTROL!$C$32, 10.5556, 10.5504) * CHOOSE(CONTROL!$C$15, $D$11, 100%, $F$11)</f>
        <v>10.5556</v>
      </c>
      <c r="G420" s="8">
        <f>CHOOSE( CONTROL!$C$32, 9.2727, 9.2676) * CHOOSE( CONTROL!$C$15, $D$11, 100%, $F$11)</f>
        <v>9.2727000000000004</v>
      </c>
      <c r="H420" s="4">
        <f>CHOOSE( CONTROL!$C$32, 10.2131, 10.2079) * CHOOSE(CONTROL!$C$15, $D$11, 100%, $F$11)</f>
        <v>10.213100000000001</v>
      </c>
      <c r="I420" s="8">
        <f>CHOOSE( CONTROL!$C$32, 9.1858, 9.1808) * CHOOSE(CONTROL!$C$15, $D$11, 100%, $F$11)</f>
        <v>9.1858000000000004</v>
      </c>
      <c r="J420" s="4">
        <f>CHOOSE( CONTROL!$C$32, 9.1175, 9.1124) * CHOOSE(CONTROL!$C$15, $D$11, 100%, $F$11)</f>
        <v>9.1174999999999997</v>
      </c>
      <c r="K420" s="4"/>
      <c r="L420" s="9">
        <v>29.520499999999998</v>
      </c>
      <c r="M420" s="9">
        <v>12.063700000000001</v>
      </c>
      <c r="N420" s="9">
        <v>4.9444999999999997</v>
      </c>
      <c r="O420" s="9">
        <v>0.37459999999999999</v>
      </c>
      <c r="P420" s="9">
        <v>1.2192000000000001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CONTROL!$C$32, 9.321, 9.3157) * CHOOSE(CONTROL!$C$15, $D$11, 100%, $F$11)</f>
        <v>9.3209999999999997</v>
      </c>
      <c r="C421" s="8">
        <f>CHOOSE( CONTROL!$C$32, 9.3314, 9.3262) * CHOOSE(CONTROL!$C$15, $D$11, 100%, $F$11)</f>
        <v>9.3314000000000004</v>
      </c>
      <c r="D421" s="8">
        <f>CHOOSE( CONTROL!$C$32, 9.3425, 9.3372) * CHOOSE( CONTROL!$C$15, $D$11, 100%, $F$11)</f>
        <v>9.3424999999999994</v>
      </c>
      <c r="E421" s="12">
        <f>CHOOSE( CONTROL!$C$32, 9.3369, 9.3316) * CHOOSE( CONTROL!$C$15, $D$11, 100%, $F$11)</f>
        <v>9.3369</v>
      </c>
      <c r="F421" s="4">
        <f>CHOOSE( CONTROL!$C$32, 10.3564, 10.3511) * CHOOSE(CONTROL!$C$15, $D$11, 100%, $F$11)</f>
        <v>10.356400000000001</v>
      </c>
      <c r="G421" s="8">
        <f>CHOOSE( CONTROL!$C$32, 9.0787, 9.0736) * CHOOSE( CONTROL!$C$15, $D$11, 100%, $F$11)</f>
        <v>9.0786999999999995</v>
      </c>
      <c r="H421" s="4">
        <f>CHOOSE( CONTROL!$C$32, 10.0189, 10.0138) * CHOOSE(CONTROL!$C$15, $D$11, 100%, $F$11)</f>
        <v>10.0189</v>
      </c>
      <c r="I421" s="8">
        <f>CHOOSE( CONTROL!$C$32, 8.9955, 8.9905) * CHOOSE(CONTROL!$C$15, $D$11, 100%, $F$11)</f>
        <v>8.9954999999999998</v>
      </c>
      <c r="J421" s="4">
        <f>CHOOSE( CONTROL!$C$32, 8.9266, 8.9216) * CHOOSE(CONTROL!$C$15, $D$11, 100%, $F$11)</f>
        <v>8.9266000000000005</v>
      </c>
      <c r="K421" s="4"/>
      <c r="L421" s="9">
        <v>28.568200000000001</v>
      </c>
      <c r="M421" s="9">
        <v>11.6745</v>
      </c>
      <c r="N421" s="9">
        <v>4.7850000000000001</v>
      </c>
      <c r="O421" s="9">
        <v>0.36249999999999999</v>
      </c>
      <c r="P421" s="9">
        <v>1.1798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9.7293 * CHOOSE(CONTROL!$C$15, $D$11, 100%, $F$11)</f>
        <v>9.7293000000000003</v>
      </c>
      <c r="C422" s="8">
        <f>9.7398 * CHOOSE(CONTROL!$C$15, $D$11, 100%, $F$11)</f>
        <v>9.7398000000000007</v>
      </c>
      <c r="D422" s="8">
        <f>9.7521 * CHOOSE( CONTROL!$C$15, $D$11, 100%, $F$11)</f>
        <v>9.7521000000000004</v>
      </c>
      <c r="E422" s="12">
        <f>9.7469 * CHOOSE( CONTROL!$C$15, $D$11, 100%, $F$11)</f>
        <v>9.7469000000000001</v>
      </c>
      <c r="F422" s="4">
        <f>10.7648 * CHOOSE(CONTROL!$C$15, $D$11, 100%, $F$11)</f>
        <v>10.764799999999999</v>
      </c>
      <c r="G422" s="8">
        <f>9.4761 * CHOOSE( CONTROL!$C$15, $D$11, 100%, $F$11)</f>
        <v>9.4761000000000006</v>
      </c>
      <c r="H422" s="4">
        <f>10.4169 * CHOOSE(CONTROL!$C$15, $D$11, 100%, $F$11)</f>
        <v>10.4169</v>
      </c>
      <c r="I422" s="8">
        <f>9.3884 * CHOOSE(CONTROL!$C$15, $D$11, 100%, $F$11)</f>
        <v>9.3884000000000007</v>
      </c>
      <c r="J422" s="4">
        <f>9.3179 * CHOOSE(CONTROL!$C$15, $D$11, 100%, $F$11)</f>
        <v>9.3178999999999998</v>
      </c>
      <c r="K422" s="4"/>
      <c r="L422" s="9">
        <v>28.921800000000001</v>
      </c>
      <c r="M422" s="9">
        <v>12.063700000000001</v>
      </c>
      <c r="N422" s="9">
        <v>4.9444999999999997</v>
      </c>
      <c r="O422" s="9">
        <v>0.37459999999999999</v>
      </c>
      <c r="P422" s="9">
        <v>1.2192000000000001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10.4928 * CHOOSE(CONTROL!$C$15, $D$11, 100%, $F$11)</f>
        <v>10.492800000000001</v>
      </c>
      <c r="C423" s="8">
        <f>10.5032 * CHOOSE(CONTROL!$C$15, $D$11, 100%, $F$11)</f>
        <v>10.5032</v>
      </c>
      <c r="D423" s="8">
        <f>10.487 * CHOOSE( CONTROL!$C$15, $D$11, 100%, $F$11)</f>
        <v>10.487</v>
      </c>
      <c r="E423" s="12">
        <f>10.4918 * CHOOSE( CONTROL!$C$15, $D$11, 100%, $F$11)</f>
        <v>10.4918</v>
      </c>
      <c r="F423" s="4">
        <f>11.487 * CHOOSE(CONTROL!$C$15, $D$11, 100%, $F$11)</f>
        <v>11.487</v>
      </c>
      <c r="G423" s="8">
        <f>10.2413 * CHOOSE( CONTROL!$C$15, $D$11, 100%, $F$11)</f>
        <v>10.241300000000001</v>
      </c>
      <c r="H423" s="4">
        <f>11.1209 * CHOOSE(CONTROL!$C$15, $D$11, 100%, $F$11)</f>
        <v>11.120900000000001</v>
      </c>
      <c r="I423" s="8">
        <f>10.1572 * CHOOSE(CONTROL!$C$15, $D$11, 100%, $F$11)</f>
        <v>10.1572</v>
      </c>
      <c r="J423" s="4">
        <f>10.0494 * CHOOSE(CONTROL!$C$15, $D$11, 100%, $F$11)</f>
        <v>10.0494</v>
      </c>
      <c r="K423" s="4"/>
      <c r="L423" s="9">
        <v>26.515499999999999</v>
      </c>
      <c r="M423" s="9">
        <v>11.6745</v>
      </c>
      <c r="N423" s="9">
        <v>4.7850000000000001</v>
      </c>
      <c r="O423" s="9">
        <v>0.36249999999999999</v>
      </c>
      <c r="P423" s="9">
        <v>1.2522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10.4737 * CHOOSE(CONTROL!$C$15, $D$11, 100%, $F$11)</f>
        <v>10.473699999999999</v>
      </c>
      <c r="C424" s="8">
        <f>10.4841 * CHOOSE(CONTROL!$C$15, $D$11, 100%, $F$11)</f>
        <v>10.4841</v>
      </c>
      <c r="D424" s="8">
        <f>10.4702 * CHOOSE( CONTROL!$C$15, $D$11, 100%, $F$11)</f>
        <v>10.4702</v>
      </c>
      <c r="E424" s="12">
        <f>10.4742 * CHOOSE( CONTROL!$C$15, $D$11, 100%, $F$11)</f>
        <v>10.4742</v>
      </c>
      <c r="F424" s="4">
        <f>11.4679 * CHOOSE(CONTROL!$C$15, $D$11, 100%, $F$11)</f>
        <v>11.4679</v>
      </c>
      <c r="G424" s="8">
        <f>10.2245 * CHOOSE( CONTROL!$C$15, $D$11, 100%, $F$11)</f>
        <v>10.224500000000001</v>
      </c>
      <c r="H424" s="4">
        <f>11.1024 * CHOOSE(CONTROL!$C$15, $D$11, 100%, $F$11)</f>
        <v>11.102399999999999</v>
      </c>
      <c r="I424" s="8">
        <f>10.1465 * CHOOSE(CONTROL!$C$15, $D$11, 100%, $F$11)</f>
        <v>10.1465</v>
      </c>
      <c r="J424" s="4">
        <f>10.0312 * CHOOSE(CONTROL!$C$15, $D$11, 100%, $F$11)</f>
        <v>10.0312</v>
      </c>
      <c r="K424" s="4"/>
      <c r="L424" s="9">
        <v>27.3993</v>
      </c>
      <c r="M424" s="9">
        <v>12.063700000000001</v>
      </c>
      <c r="N424" s="9">
        <v>4.9444999999999997</v>
      </c>
      <c r="O424" s="9">
        <v>0.37459999999999999</v>
      </c>
      <c r="P424" s="9">
        <v>1.2939000000000001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10.8738 * CHOOSE(CONTROL!$C$15, $D$11, 100%, $F$11)</f>
        <v>10.873799999999999</v>
      </c>
      <c r="C425" s="8">
        <f>10.8843 * CHOOSE(CONTROL!$C$15, $D$11, 100%, $F$11)</f>
        <v>10.8843</v>
      </c>
      <c r="D425" s="8">
        <f>10.8836 * CHOOSE( CONTROL!$C$15, $D$11, 100%, $F$11)</f>
        <v>10.883599999999999</v>
      </c>
      <c r="E425" s="12">
        <f>10.8827 * CHOOSE( CONTROL!$C$15, $D$11, 100%, $F$11)</f>
        <v>10.8827</v>
      </c>
      <c r="F425" s="4">
        <f>11.8967 * CHOOSE(CONTROL!$C$15, $D$11, 100%, $F$11)</f>
        <v>11.896699999999999</v>
      </c>
      <c r="G425" s="8">
        <f>10.628 * CHOOSE( CONTROL!$C$15, $D$11, 100%, $F$11)</f>
        <v>10.628</v>
      </c>
      <c r="H425" s="4">
        <f>11.5203 * CHOOSE(CONTROL!$C$15, $D$11, 100%, $F$11)</f>
        <v>11.520300000000001</v>
      </c>
      <c r="I425" s="8">
        <f>10.5283 * CHOOSE(CONTROL!$C$15, $D$11, 100%, $F$11)</f>
        <v>10.5283</v>
      </c>
      <c r="J425" s="4">
        <f>10.4145 * CHOOSE(CONTROL!$C$15, $D$11, 100%, $F$11)</f>
        <v>10.4145</v>
      </c>
      <c r="K425" s="4"/>
      <c r="L425" s="9">
        <v>27.3993</v>
      </c>
      <c r="M425" s="9">
        <v>12.063700000000001</v>
      </c>
      <c r="N425" s="9">
        <v>4.9444999999999997</v>
      </c>
      <c r="O425" s="9">
        <v>0.37459999999999999</v>
      </c>
      <c r="P425" s="9">
        <v>1.2939000000000001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10.1712 * CHOOSE(CONTROL!$C$15, $D$11, 100%, $F$11)</f>
        <v>10.171200000000001</v>
      </c>
      <c r="C426" s="8">
        <f>10.1816 * CHOOSE(CONTROL!$C$15, $D$11, 100%, $F$11)</f>
        <v>10.1816</v>
      </c>
      <c r="D426" s="8">
        <f>10.1831 * CHOOSE( CONTROL!$C$15, $D$11, 100%, $F$11)</f>
        <v>10.1831</v>
      </c>
      <c r="E426" s="12">
        <f>10.1814 * CHOOSE( CONTROL!$C$15, $D$11, 100%, $F$11)</f>
        <v>10.1814</v>
      </c>
      <c r="F426" s="4">
        <f>11.1862 * CHOOSE(CONTROL!$C$15, $D$11, 100%, $F$11)</f>
        <v>11.186199999999999</v>
      </c>
      <c r="G426" s="8">
        <f>9.9429 * CHOOSE( CONTROL!$C$15, $D$11, 100%, $F$11)</f>
        <v>9.9428999999999998</v>
      </c>
      <c r="H426" s="4">
        <f>10.8278 * CHOOSE(CONTROL!$C$15, $D$11, 100%, $F$11)</f>
        <v>10.8278</v>
      </c>
      <c r="I426" s="8">
        <f>9.8438 * CHOOSE(CONTROL!$C$15, $D$11, 100%, $F$11)</f>
        <v>9.8437999999999999</v>
      </c>
      <c r="J426" s="4">
        <f>9.7413 * CHOOSE(CONTROL!$C$15, $D$11, 100%, $F$11)</f>
        <v>9.7413000000000007</v>
      </c>
      <c r="K426" s="4"/>
      <c r="L426" s="9">
        <v>24.747800000000002</v>
      </c>
      <c r="M426" s="9">
        <v>10.8962</v>
      </c>
      <c r="N426" s="9">
        <v>4.4660000000000002</v>
      </c>
      <c r="O426" s="9">
        <v>0.33829999999999999</v>
      </c>
      <c r="P426" s="9">
        <v>1.1687000000000001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9.9548 * CHOOSE(CONTROL!$C$15, $D$11, 100%, $F$11)</f>
        <v>9.9548000000000005</v>
      </c>
      <c r="C427" s="8">
        <f>9.9652 * CHOOSE(CONTROL!$C$15, $D$11, 100%, $F$11)</f>
        <v>9.9651999999999994</v>
      </c>
      <c r="D427" s="8">
        <f>9.9462 * CHOOSE( CONTROL!$C$15, $D$11, 100%, $F$11)</f>
        <v>9.9461999999999993</v>
      </c>
      <c r="E427" s="12">
        <f>9.952 * CHOOSE( CONTROL!$C$15, $D$11, 100%, $F$11)</f>
        <v>9.952</v>
      </c>
      <c r="F427" s="4">
        <f>10.9537 * CHOOSE(CONTROL!$C$15, $D$11, 100%, $F$11)</f>
        <v>10.9537</v>
      </c>
      <c r="G427" s="8">
        <f>9.7112 * CHOOSE( CONTROL!$C$15, $D$11, 100%, $F$11)</f>
        <v>9.7111999999999998</v>
      </c>
      <c r="H427" s="4">
        <f>10.6011 * CHOOSE(CONTROL!$C$15, $D$11, 100%, $F$11)</f>
        <v>10.601100000000001</v>
      </c>
      <c r="I427" s="8">
        <f>9.5968 * CHOOSE(CONTROL!$C$15, $D$11, 100%, $F$11)</f>
        <v>9.5968</v>
      </c>
      <c r="J427" s="4">
        <f>9.5339 * CHOOSE(CONTROL!$C$15, $D$11, 100%, $F$11)</f>
        <v>9.5338999999999992</v>
      </c>
      <c r="K427" s="4"/>
      <c r="L427" s="9">
        <v>27.3993</v>
      </c>
      <c r="M427" s="9">
        <v>12.063700000000001</v>
      </c>
      <c r="N427" s="9">
        <v>4.9444999999999997</v>
      </c>
      <c r="O427" s="9">
        <v>0.37459999999999999</v>
      </c>
      <c r="P427" s="9">
        <v>1.2939000000000001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10.106 * CHOOSE(CONTROL!$C$15, $D$11, 100%, $F$11)</f>
        <v>10.106</v>
      </c>
      <c r="C428" s="8">
        <f>10.1164 * CHOOSE(CONTROL!$C$15, $D$11, 100%, $F$11)</f>
        <v>10.116400000000001</v>
      </c>
      <c r="D428" s="8">
        <f>10.1204 * CHOOSE( CONTROL!$C$15, $D$11, 100%, $F$11)</f>
        <v>10.1204</v>
      </c>
      <c r="E428" s="12">
        <f>10.1179 * CHOOSE( CONTROL!$C$15, $D$11, 100%, $F$11)</f>
        <v>10.117900000000001</v>
      </c>
      <c r="F428" s="4">
        <f>11.1132 * CHOOSE(CONTROL!$C$15, $D$11, 100%, $F$11)</f>
        <v>11.113200000000001</v>
      </c>
      <c r="G428" s="8">
        <f>9.847 * CHOOSE( CONTROL!$C$15, $D$11, 100%, $F$11)</f>
        <v>9.8469999999999995</v>
      </c>
      <c r="H428" s="4">
        <f>10.7566 * CHOOSE(CONTROL!$C$15, $D$11, 100%, $F$11)</f>
        <v>10.756600000000001</v>
      </c>
      <c r="I428" s="8">
        <f>9.7319 * CHOOSE(CONTROL!$C$15, $D$11, 100%, $F$11)</f>
        <v>9.7318999999999996</v>
      </c>
      <c r="J428" s="4">
        <f>9.6788 * CHOOSE(CONTROL!$C$15, $D$11, 100%, $F$11)</f>
        <v>9.6788000000000007</v>
      </c>
      <c r="K428" s="4"/>
      <c r="L428" s="9">
        <v>27.988800000000001</v>
      </c>
      <c r="M428" s="9">
        <v>11.6745</v>
      </c>
      <c r="N428" s="9">
        <v>4.7850000000000001</v>
      </c>
      <c r="O428" s="9">
        <v>0.36249999999999999</v>
      </c>
      <c r="P428" s="9">
        <v>1.1798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CONTROL!$C$32, 10.3804, 10.3751) * CHOOSE(CONTROL!$C$15, $D$11, 100%, $F$11)</f>
        <v>10.3804</v>
      </c>
      <c r="C429" s="8">
        <f>CHOOSE( CONTROL!$C$32, 10.3908, 10.3856) * CHOOSE(CONTROL!$C$15, $D$11, 100%, $F$11)</f>
        <v>10.3908</v>
      </c>
      <c r="D429" s="8">
        <f>CHOOSE( CONTROL!$C$32, 10.4037, 10.3984) * CHOOSE( CONTROL!$C$15, $D$11, 100%, $F$11)</f>
        <v>10.403700000000001</v>
      </c>
      <c r="E429" s="12">
        <f>CHOOSE( CONTROL!$C$32, 10.3974, 10.3922) * CHOOSE( CONTROL!$C$15, $D$11, 100%, $F$11)</f>
        <v>10.397399999999999</v>
      </c>
      <c r="F429" s="4">
        <f>CHOOSE( CONTROL!$C$32, 11.4033, 11.398) * CHOOSE(CONTROL!$C$15, $D$11, 100%, $F$11)</f>
        <v>11.4033</v>
      </c>
      <c r="G429" s="8">
        <f>CHOOSE( CONTROL!$C$32, 10.1201, 10.115) * CHOOSE( CONTROL!$C$15, $D$11, 100%, $F$11)</f>
        <v>10.120100000000001</v>
      </c>
      <c r="H429" s="4">
        <f>CHOOSE( CONTROL!$C$32, 11.0394, 11.0342) * CHOOSE(CONTROL!$C$15, $D$11, 100%, $F$11)</f>
        <v>11.039400000000001</v>
      </c>
      <c r="I429" s="8">
        <f>CHOOSE( CONTROL!$C$32, 10.0002, 9.9952) * CHOOSE(CONTROL!$C$15, $D$11, 100%, $F$11)</f>
        <v>10.0002</v>
      </c>
      <c r="J429" s="4">
        <f>CHOOSE( CONTROL!$C$32, 9.9417, 9.9367) * CHOOSE(CONTROL!$C$15, $D$11, 100%, $F$11)</f>
        <v>9.9417000000000009</v>
      </c>
      <c r="K429" s="4"/>
      <c r="L429" s="9">
        <v>29.520499999999998</v>
      </c>
      <c r="M429" s="9">
        <v>12.063700000000001</v>
      </c>
      <c r="N429" s="9">
        <v>4.9444999999999997</v>
      </c>
      <c r="O429" s="9">
        <v>0.37459999999999999</v>
      </c>
      <c r="P429" s="9">
        <v>1.2192000000000001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CONTROL!$C$32, 10.2137, 10.2084) * CHOOSE(CONTROL!$C$15, $D$11, 100%, $F$11)</f>
        <v>10.213699999999999</v>
      </c>
      <c r="C430" s="8">
        <f>CHOOSE( CONTROL!$C$32, 10.2241, 10.2188) * CHOOSE(CONTROL!$C$15, $D$11, 100%, $F$11)</f>
        <v>10.2241</v>
      </c>
      <c r="D430" s="8">
        <f>CHOOSE( CONTROL!$C$32, 10.2445, 10.2393) * CHOOSE( CONTROL!$C$15, $D$11, 100%, $F$11)</f>
        <v>10.2445</v>
      </c>
      <c r="E430" s="12">
        <f>CHOOSE( CONTROL!$C$32, 10.2355, 10.2303) * CHOOSE( CONTROL!$C$15, $D$11, 100%, $F$11)</f>
        <v>10.2355</v>
      </c>
      <c r="F430" s="4">
        <f>CHOOSE( CONTROL!$C$32, 11.2491, 11.2438) * CHOOSE(CONTROL!$C$15, $D$11, 100%, $F$11)</f>
        <v>11.2491</v>
      </c>
      <c r="G430" s="8">
        <f>CHOOSE( CONTROL!$C$32, 9.9614, 9.9563) * CHOOSE( CONTROL!$C$15, $D$11, 100%, $F$11)</f>
        <v>9.9613999999999994</v>
      </c>
      <c r="H430" s="4">
        <f>CHOOSE( CONTROL!$C$32, 10.889, 10.8839) * CHOOSE(CONTROL!$C$15, $D$11, 100%, $F$11)</f>
        <v>10.888999999999999</v>
      </c>
      <c r="I430" s="8">
        <f>CHOOSE( CONTROL!$C$32, 9.8456, 9.8406) * CHOOSE(CONTROL!$C$15, $D$11, 100%, $F$11)</f>
        <v>9.8455999999999992</v>
      </c>
      <c r="J430" s="4">
        <f>CHOOSE( CONTROL!$C$32, 9.782, 9.7769) * CHOOSE(CONTROL!$C$15, $D$11, 100%, $F$11)</f>
        <v>9.782</v>
      </c>
      <c r="K430" s="4"/>
      <c r="L430" s="9">
        <v>28.568200000000001</v>
      </c>
      <c r="M430" s="9">
        <v>11.6745</v>
      </c>
      <c r="N430" s="9">
        <v>4.7850000000000001</v>
      </c>
      <c r="O430" s="9">
        <v>0.36249999999999999</v>
      </c>
      <c r="P430" s="9">
        <v>1.1798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CONTROL!$C$32, 10.6527, 10.6475) * CHOOSE(CONTROL!$C$15, $D$11, 100%, $F$11)</f>
        <v>10.652699999999999</v>
      </c>
      <c r="C431" s="8">
        <f>CHOOSE( CONTROL!$C$32, 10.6631, 10.6579) * CHOOSE(CONTROL!$C$15, $D$11, 100%, $F$11)</f>
        <v>10.6631</v>
      </c>
      <c r="D431" s="8">
        <f>CHOOSE( CONTROL!$C$32, 10.6737, 10.6685) * CHOOSE( CONTROL!$C$15, $D$11, 100%, $F$11)</f>
        <v>10.6737</v>
      </c>
      <c r="E431" s="12">
        <f>CHOOSE( CONTROL!$C$32, 10.6683, 10.6631) * CHOOSE( CONTROL!$C$15, $D$11, 100%, $F$11)</f>
        <v>10.6683</v>
      </c>
      <c r="F431" s="4">
        <f>CHOOSE( CONTROL!$C$32, 11.6881, 11.6829) * CHOOSE(CONTROL!$C$15, $D$11, 100%, $F$11)</f>
        <v>11.6881</v>
      </c>
      <c r="G431" s="8">
        <f>CHOOSE( CONTROL!$C$32, 10.3762, 10.371) * CHOOSE( CONTROL!$C$15, $D$11, 100%, $F$11)</f>
        <v>10.376200000000001</v>
      </c>
      <c r="H431" s="4">
        <f>CHOOSE( CONTROL!$C$32, 11.317, 11.3119) * CHOOSE(CONTROL!$C$15, $D$11, 100%, $F$11)</f>
        <v>11.317</v>
      </c>
      <c r="I431" s="8">
        <f>CHOOSE( CONTROL!$C$32, 10.2699, 10.2649) * CHOOSE(CONTROL!$C$15, $D$11, 100%, $F$11)</f>
        <v>10.2699</v>
      </c>
      <c r="J431" s="4">
        <f>CHOOSE( CONTROL!$C$32, 10.2027, 10.1976) * CHOOSE(CONTROL!$C$15, $D$11, 100%, $F$11)</f>
        <v>10.2027</v>
      </c>
      <c r="K431" s="4"/>
      <c r="L431" s="9">
        <v>29.520499999999998</v>
      </c>
      <c r="M431" s="9">
        <v>12.063700000000001</v>
      </c>
      <c r="N431" s="9">
        <v>4.9444999999999997</v>
      </c>
      <c r="O431" s="9">
        <v>0.37459999999999999</v>
      </c>
      <c r="P431" s="9">
        <v>1.2192000000000001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CONTROL!$C$32, 9.8312, 9.8259) * CHOOSE(CONTROL!$C$15, $D$11, 100%, $F$11)</f>
        <v>9.8312000000000008</v>
      </c>
      <c r="C432" s="8">
        <f>CHOOSE( CONTROL!$C$32, 9.8416, 9.8364) * CHOOSE(CONTROL!$C$15, $D$11, 100%, $F$11)</f>
        <v>9.8415999999999997</v>
      </c>
      <c r="D432" s="8">
        <f>CHOOSE( CONTROL!$C$32, 9.8526, 9.8473) * CHOOSE( CONTROL!$C$15, $D$11, 100%, $F$11)</f>
        <v>9.8526000000000007</v>
      </c>
      <c r="E432" s="12">
        <f>CHOOSE( CONTROL!$C$32, 9.847, 9.8417) * CHOOSE( CONTROL!$C$15, $D$11, 100%, $F$11)</f>
        <v>9.8469999999999995</v>
      </c>
      <c r="F432" s="4">
        <f>CHOOSE( CONTROL!$C$32, 10.8666, 10.8614) * CHOOSE(CONTROL!$C$15, $D$11, 100%, $F$11)</f>
        <v>10.8666</v>
      </c>
      <c r="G432" s="8">
        <f>CHOOSE( CONTROL!$C$32, 9.5759, 9.5707) * CHOOSE( CONTROL!$C$15, $D$11, 100%, $F$11)</f>
        <v>9.5759000000000007</v>
      </c>
      <c r="H432" s="4">
        <f>CHOOSE( CONTROL!$C$32, 10.5162, 10.5111) * CHOOSE(CONTROL!$C$15, $D$11, 100%, $F$11)</f>
        <v>10.5162</v>
      </c>
      <c r="I432" s="8">
        <f>CHOOSE( CONTROL!$C$32, 9.484, 9.4789) * CHOOSE(CONTROL!$C$15, $D$11, 100%, $F$11)</f>
        <v>9.484</v>
      </c>
      <c r="J432" s="4">
        <f>CHOOSE( CONTROL!$C$32, 9.4155, 9.4105) * CHOOSE(CONTROL!$C$15, $D$11, 100%, $F$11)</f>
        <v>9.4154999999999998</v>
      </c>
      <c r="K432" s="4"/>
      <c r="L432" s="9">
        <v>29.520499999999998</v>
      </c>
      <c r="M432" s="9">
        <v>12.063700000000001</v>
      </c>
      <c r="N432" s="9">
        <v>4.9444999999999997</v>
      </c>
      <c r="O432" s="9">
        <v>0.37459999999999999</v>
      </c>
      <c r="P432" s="9">
        <v>1.2192000000000001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CONTROL!$C$32, 9.6255, 9.6202) * CHOOSE(CONTROL!$C$15, $D$11, 100%, $F$11)</f>
        <v>9.6255000000000006</v>
      </c>
      <c r="C433" s="8">
        <f>CHOOSE( CONTROL!$C$32, 9.6359, 9.6306) * CHOOSE(CONTROL!$C$15, $D$11, 100%, $F$11)</f>
        <v>9.6358999999999995</v>
      </c>
      <c r="D433" s="8">
        <f>CHOOSE( CONTROL!$C$32, 9.647, 9.6417) * CHOOSE( CONTROL!$C$15, $D$11, 100%, $F$11)</f>
        <v>9.6470000000000002</v>
      </c>
      <c r="E433" s="12">
        <f>CHOOSE( CONTROL!$C$32, 9.6414, 9.6361) * CHOOSE( CONTROL!$C$15, $D$11, 100%, $F$11)</f>
        <v>9.6414000000000009</v>
      </c>
      <c r="F433" s="4">
        <f>CHOOSE( CONTROL!$C$32, 10.6609, 10.6556) * CHOOSE(CONTROL!$C$15, $D$11, 100%, $F$11)</f>
        <v>10.6609</v>
      </c>
      <c r="G433" s="8">
        <f>CHOOSE( CONTROL!$C$32, 9.3755, 9.3704) * CHOOSE( CONTROL!$C$15, $D$11, 100%, $F$11)</f>
        <v>9.3755000000000006</v>
      </c>
      <c r="H433" s="4">
        <f>CHOOSE( CONTROL!$C$32, 10.3157, 10.3106) * CHOOSE(CONTROL!$C$15, $D$11, 100%, $F$11)</f>
        <v>10.3157</v>
      </c>
      <c r="I433" s="8">
        <f>CHOOSE( CONTROL!$C$32, 9.2874, 9.2824) * CHOOSE(CONTROL!$C$15, $D$11, 100%, $F$11)</f>
        <v>9.2873999999999999</v>
      </c>
      <c r="J433" s="4">
        <f>CHOOSE( CONTROL!$C$32, 9.2184, 9.2133) * CHOOSE(CONTROL!$C$15, $D$11, 100%, $F$11)</f>
        <v>9.2184000000000008</v>
      </c>
      <c r="K433" s="4"/>
      <c r="L433" s="9">
        <v>28.568200000000001</v>
      </c>
      <c r="M433" s="9">
        <v>11.6745</v>
      </c>
      <c r="N433" s="9">
        <v>4.7850000000000001</v>
      </c>
      <c r="O433" s="9">
        <v>0.36249999999999999</v>
      </c>
      <c r="P433" s="9">
        <v>1.1798</v>
      </c>
      <c r="Q433" s="9">
        <v>19.4238</v>
      </c>
      <c r="R433" s="9"/>
      <c r="S433" s="11"/>
    </row>
    <row r="434" spans="1:19" ht="15.75">
      <c r="A434" s="13">
        <v>55092</v>
      </c>
      <c r="B434" s="8">
        <f>10.0474 * CHOOSE(CONTROL!$C$15, $D$11, 100%, $F$11)</f>
        <v>10.0474</v>
      </c>
      <c r="C434" s="8">
        <f>10.0578 * CHOOSE(CONTROL!$C$15, $D$11, 100%, $F$11)</f>
        <v>10.0578</v>
      </c>
      <c r="D434" s="8">
        <f>10.0702 * CHOOSE( CONTROL!$C$15, $D$11, 100%, $F$11)</f>
        <v>10.0702</v>
      </c>
      <c r="E434" s="12">
        <f>10.065 * CHOOSE( CONTROL!$C$15, $D$11, 100%, $F$11)</f>
        <v>10.065</v>
      </c>
      <c r="F434" s="4">
        <f>11.0828 * CHOOSE(CONTROL!$C$15, $D$11, 100%, $F$11)</f>
        <v>11.082800000000001</v>
      </c>
      <c r="G434" s="8">
        <f>9.7861 * CHOOSE( CONTROL!$C$15, $D$11, 100%, $F$11)</f>
        <v>9.7860999999999994</v>
      </c>
      <c r="H434" s="4">
        <f>10.7269 * CHOOSE(CONTROL!$C$15, $D$11, 100%, $F$11)</f>
        <v>10.726900000000001</v>
      </c>
      <c r="I434" s="8">
        <f>9.6933 * CHOOSE(CONTROL!$C$15, $D$11, 100%, $F$11)</f>
        <v>9.6933000000000007</v>
      </c>
      <c r="J434" s="4">
        <f>9.6226 * CHOOSE(CONTROL!$C$15, $D$11, 100%, $F$11)</f>
        <v>9.6226000000000003</v>
      </c>
      <c r="K434" s="4"/>
      <c r="L434" s="9">
        <v>28.921800000000001</v>
      </c>
      <c r="M434" s="9">
        <v>12.063700000000001</v>
      </c>
      <c r="N434" s="9">
        <v>4.9444999999999997</v>
      </c>
      <c r="O434" s="9">
        <v>0.37459999999999999</v>
      </c>
      <c r="P434" s="9">
        <v>1.2192000000000001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10.8358 * CHOOSE(CONTROL!$C$15, $D$11, 100%, $F$11)</f>
        <v>10.835800000000001</v>
      </c>
      <c r="C435" s="8">
        <f>10.8462 * CHOOSE(CONTROL!$C$15, $D$11, 100%, $F$11)</f>
        <v>10.8462</v>
      </c>
      <c r="D435" s="8">
        <f>10.83 * CHOOSE( CONTROL!$C$15, $D$11, 100%, $F$11)</f>
        <v>10.83</v>
      </c>
      <c r="E435" s="12">
        <f>10.8348 * CHOOSE( CONTROL!$C$15, $D$11, 100%, $F$11)</f>
        <v>10.8348</v>
      </c>
      <c r="F435" s="4">
        <f>11.83 * CHOOSE(CONTROL!$C$15, $D$11, 100%, $F$11)</f>
        <v>11.83</v>
      </c>
      <c r="G435" s="8">
        <f>10.5757 * CHOOSE( CONTROL!$C$15, $D$11, 100%, $F$11)</f>
        <v>10.575699999999999</v>
      </c>
      <c r="H435" s="4">
        <f>11.4553 * CHOOSE(CONTROL!$C$15, $D$11, 100%, $F$11)</f>
        <v>11.455299999999999</v>
      </c>
      <c r="I435" s="8">
        <f>10.486 * CHOOSE(CONTROL!$C$15, $D$11, 100%, $F$11)</f>
        <v>10.486000000000001</v>
      </c>
      <c r="J435" s="4">
        <f>10.3781 * CHOOSE(CONTROL!$C$15, $D$11, 100%, $F$11)</f>
        <v>10.3781</v>
      </c>
      <c r="K435" s="4"/>
      <c r="L435" s="9">
        <v>26.515499999999999</v>
      </c>
      <c r="M435" s="9">
        <v>11.6745</v>
      </c>
      <c r="N435" s="9">
        <v>4.7850000000000001</v>
      </c>
      <c r="O435" s="9">
        <v>0.36249999999999999</v>
      </c>
      <c r="P435" s="9">
        <v>1.2522</v>
      </c>
      <c r="Q435" s="9">
        <v>19.4238</v>
      </c>
      <c r="R435" s="9"/>
      <c r="S435" s="11"/>
    </row>
    <row r="436" spans="1:19" ht="15.75">
      <c r="A436" s="13">
        <v>55153</v>
      </c>
      <c r="B436" s="8">
        <f>10.8161 * CHOOSE(CONTROL!$C$15, $D$11, 100%, $F$11)</f>
        <v>10.8161</v>
      </c>
      <c r="C436" s="8">
        <f>10.8265 * CHOOSE(CONTROL!$C$15, $D$11, 100%, $F$11)</f>
        <v>10.826499999999999</v>
      </c>
      <c r="D436" s="8">
        <f>10.8126 * CHOOSE( CONTROL!$C$15, $D$11, 100%, $F$11)</f>
        <v>10.8126</v>
      </c>
      <c r="E436" s="12">
        <f>10.8166 * CHOOSE( CONTROL!$C$15, $D$11, 100%, $F$11)</f>
        <v>10.816599999999999</v>
      </c>
      <c r="F436" s="4">
        <f>11.8103 * CHOOSE(CONTROL!$C$15, $D$11, 100%, $F$11)</f>
        <v>11.8103</v>
      </c>
      <c r="G436" s="8">
        <f>10.5582 * CHOOSE( CONTROL!$C$15, $D$11, 100%, $F$11)</f>
        <v>10.558199999999999</v>
      </c>
      <c r="H436" s="4">
        <f>11.4361 * CHOOSE(CONTROL!$C$15, $D$11, 100%, $F$11)</f>
        <v>11.4361</v>
      </c>
      <c r="I436" s="8">
        <f>10.4747 * CHOOSE(CONTROL!$C$15, $D$11, 100%, $F$11)</f>
        <v>10.4747</v>
      </c>
      <c r="J436" s="4">
        <f>10.3592 * CHOOSE(CONTROL!$C$15, $D$11, 100%, $F$11)</f>
        <v>10.3592</v>
      </c>
      <c r="K436" s="4"/>
      <c r="L436" s="9">
        <v>27.3993</v>
      </c>
      <c r="M436" s="9">
        <v>12.063700000000001</v>
      </c>
      <c r="N436" s="9">
        <v>4.9444999999999997</v>
      </c>
      <c r="O436" s="9">
        <v>0.37459999999999999</v>
      </c>
      <c r="P436" s="9">
        <v>1.2939000000000001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11.2293 * CHOOSE(CONTROL!$C$15, $D$11, 100%, $F$11)</f>
        <v>11.2293</v>
      </c>
      <c r="C437" s="8">
        <f>11.2397 * CHOOSE(CONTROL!$C$15, $D$11, 100%, $F$11)</f>
        <v>11.239699999999999</v>
      </c>
      <c r="D437" s="8">
        <f>11.239 * CHOOSE( CONTROL!$C$15, $D$11, 100%, $F$11)</f>
        <v>11.239000000000001</v>
      </c>
      <c r="E437" s="12">
        <f>11.2381 * CHOOSE( CONTROL!$C$15, $D$11, 100%, $F$11)</f>
        <v>11.238099999999999</v>
      </c>
      <c r="F437" s="4">
        <f>12.2522 * CHOOSE(CONTROL!$C$15, $D$11, 100%, $F$11)</f>
        <v>12.2522</v>
      </c>
      <c r="G437" s="8">
        <f>10.9745 * CHOOSE( CONTROL!$C$15, $D$11, 100%, $F$11)</f>
        <v>10.974500000000001</v>
      </c>
      <c r="H437" s="4">
        <f>11.8668 * CHOOSE(CONTROL!$C$15, $D$11, 100%, $F$11)</f>
        <v>11.8668</v>
      </c>
      <c r="I437" s="8">
        <f>10.8691 * CHOOSE(CONTROL!$C$15, $D$11, 100%, $F$11)</f>
        <v>10.8691</v>
      </c>
      <c r="J437" s="4">
        <f>10.7551 * CHOOSE(CONTROL!$C$15, $D$11, 100%, $F$11)</f>
        <v>10.755100000000001</v>
      </c>
      <c r="K437" s="4"/>
      <c r="L437" s="9">
        <v>27.3993</v>
      </c>
      <c r="M437" s="9">
        <v>12.063700000000001</v>
      </c>
      <c r="N437" s="9">
        <v>4.9444999999999997</v>
      </c>
      <c r="O437" s="9">
        <v>0.37459999999999999</v>
      </c>
      <c r="P437" s="9">
        <v>1.2939000000000001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10.5036 * CHOOSE(CONTROL!$C$15, $D$11, 100%, $F$11)</f>
        <v>10.5036</v>
      </c>
      <c r="C438" s="8">
        <f>10.5141 * CHOOSE(CONTROL!$C$15, $D$11, 100%, $F$11)</f>
        <v>10.514099999999999</v>
      </c>
      <c r="D438" s="8">
        <f>10.5156 * CHOOSE( CONTROL!$C$15, $D$11, 100%, $F$11)</f>
        <v>10.515599999999999</v>
      </c>
      <c r="E438" s="12">
        <f>10.5139 * CHOOSE( CONTROL!$C$15, $D$11, 100%, $F$11)</f>
        <v>10.5139</v>
      </c>
      <c r="F438" s="4">
        <f>11.5187 * CHOOSE(CONTROL!$C$15, $D$11, 100%, $F$11)</f>
        <v>11.518700000000001</v>
      </c>
      <c r="G438" s="8">
        <f>10.267 * CHOOSE( CONTROL!$C$15, $D$11, 100%, $F$11)</f>
        <v>10.266999999999999</v>
      </c>
      <c r="H438" s="4">
        <f>11.1519 * CHOOSE(CONTROL!$C$15, $D$11, 100%, $F$11)</f>
        <v>11.151899999999999</v>
      </c>
      <c r="I438" s="8">
        <f>10.1625 * CHOOSE(CONTROL!$C$15, $D$11, 100%, $F$11)</f>
        <v>10.1625</v>
      </c>
      <c r="J438" s="4">
        <f>10.0598 * CHOOSE(CONTROL!$C$15, $D$11, 100%, $F$11)</f>
        <v>10.059799999999999</v>
      </c>
      <c r="K438" s="4"/>
      <c r="L438" s="9">
        <v>24.747800000000002</v>
      </c>
      <c r="M438" s="9">
        <v>10.8962</v>
      </c>
      <c r="N438" s="9">
        <v>4.4660000000000002</v>
      </c>
      <c r="O438" s="9">
        <v>0.33829999999999999</v>
      </c>
      <c r="P438" s="9">
        <v>1.1687000000000001</v>
      </c>
      <c r="Q438" s="9">
        <v>18.0718</v>
      </c>
      <c r="R438" s="9"/>
      <c r="S438" s="11"/>
    </row>
    <row r="439" spans="1:19" ht="15.75">
      <c r="A439" s="13">
        <v>55243</v>
      </c>
      <c r="B439" s="8">
        <f>10.2801 * CHOOSE(CONTROL!$C$15, $D$11, 100%, $F$11)</f>
        <v>10.280099999999999</v>
      </c>
      <c r="C439" s="8">
        <f>10.2906 * CHOOSE(CONTROL!$C$15, $D$11, 100%, $F$11)</f>
        <v>10.2906</v>
      </c>
      <c r="D439" s="8">
        <f>10.2716 * CHOOSE( CONTROL!$C$15, $D$11, 100%, $F$11)</f>
        <v>10.271599999999999</v>
      </c>
      <c r="E439" s="12">
        <f>10.2774 * CHOOSE( CONTROL!$C$15, $D$11, 100%, $F$11)</f>
        <v>10.2774</v>
      </c>
      <c r="F439" s="4">
        <f>11.2791 * CHOOSE(CONTROL!$C$15, $D$11, 100%, $F$11)</f>
        <v>11.2791</v>
      </c>
      <c r="G439" s="8">
        <f>10.0284 * CHOOSE( CONTROL!$C$15, $D$11, 100%, $F$11)</f>
        <v>10.0284</v>
      </c>
      <c r="H439" s="4">
        <f>10.9183 * CHOOSE(CONTROL!$C$15, $D$11, 100%, $F$11)</f>
        <v>10.9183</v>
      </c>
      <c r="I439" s="8">
        <f>9.9087 * CHOOSE(CONTROL!$C$15, $D$11, 100%, $F$11)</f>
        <v>9.9086999999999996</v>
      </c>
      <c r="J439" s="4">
        <f>9.8457 * CHOOSE(CONTROL!$C$15, $D$11, 100%, $F$11)</f>
        <v>9.8457000000000008</v>
      </c>
      <c r="K439" s="4"/>
      <c r="L439" s="9">
        <v>27.3993</v>
      </c>
      <c r="M439" s="9">
        <v>12.063700000000001</v>
      </c>
      <c r="N439" s="9">
        <v>4.9444999999999997</v>
      </c>
      <c r="O439" s="9">
        <v>0.37459999999999999</v>
      </c>
      <c r="P439" s="9">
        <v>1.2939000000000001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10.4363 * CHOOSE(CONTROL!$C$15, $D$11, 100%, $F$11)</f>
        <v>10.436299999999999</v>
      </c>
      <c r="C440" s="8">
        <f>10.4468 * CHOOSE(CONTROL!$C$15, $D$11, 100%, $F$11)</f>
        <v>10.4468</v>
      </c>
      <c r="D440" s="8">
        <f>10.4508 * CHOOSE( CONTROL!$C$15, $D$11, 100%, $F$11)</f>
        <v>10.450799999999999</v>
      </c>
      <c r="E440" s="12">
        <f>10.4483 * CHOOSE( CONTROL!$C$15, $D$11, 100%, $F$11)</f>
        <v>10.4483</v>
      </c>
      <c r="F440" s="4">
        <f>11.4436 * CHOOSE(CONTROL!$C$15, $D$11, 100%, $F$11)</f>
        <v>11.4436</v>
      </c>
      <c r="G440" s="8">
        <f>10.169 * CHOOSE( CONTROL!$C$15, $D$11, 100%, $F$11)</f>
        <v>10.169</v>
      </c>
      <c r="H440" s="4">
        <f>11.0786 * CHOOSE(CONTROL!$C$15, $D$11, 100%, $F$11)</f>
        <v>11.0786</v>
      </c>
      <c r="I440" s="8">
        <f>10.0486 * CHOOSE(CONTROL!$C$15, $D$11, 100%, $F$11)</f>
        <v>10.0486</v>
      </c>
      <c r="J440" s="4">
        <f>9.9953 * CHOOSE(CONTROL!$C$15, $D$11, 100%, $F$11)</f>
        <v>9.9953000000000003</v>
      </c>
      <c r="K440" s="4"/>
      <c r="L440" s="9">
        <v>27.988800000000001</v>
      </c>
      <c r="M440" s="9">
        <v>11.6745</v>
      </c>
      <c r="N440" s="9">
        <v>4.7850000000000001</v>
      </c>
      <c r="O440" s="9">
        <v>0.36249999999999999</v>
      </c>
      <c r="P440" s="9">
        <v>1.1798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CONTROL!$C$32, 10.7195, 10.7143) * CHOOSE(CONTROL!$C$15, $D$11, 100%, $F$11)</f>
        <v>10.7195</v>
      </c>
      <c r="C441" s="8">
        <f>CHOOSE( CONTROL!$C$32, 10.73, 10.7247) * CHOOSE(CONTROL!$C$15, $D$11, 100%, $F$11)</f>
        <v>10.73</v>
      </c>
      <c r="D441" s="8">
        <f>CHOOSE( CONTROL!$C$32, 10.7428, 10.7375) * CHOOSE( CONTROL!$C$15, $D$11, 100%, $F$11)</f>
        <v>10.742800000000001</v>
      </c>
      <c r="E441" s="12">
        <f>CHOOSE( CONTROL!$C$32, 10.7366, 10.7313) * CHOOSE( CONTROL!$C$15, $D$11, 100%, $F$11)</f>
        <v>10.736599999999999</v>
      </c>
      <c r="F441" s="4">
        <f>CHOOSE( CONTROL!$C$32, 11.7424, 11.7372) * CHOOSE(CONTROL!$C$15, $D$11, 100%, $F$11)</f>
        <v>11.7424</v>
      </c>
      <c r="G441" s="8">
        <f>CHOOSE( CONTROL!$C$32, 10.4507, 10.4456) * CHOOSE( CONTROL!$C$15, $D$11, 100%, $F$11)</f>
        <v>10.450699999999999</v>
      </c>
      <c r="H441" s="4">
        <f>CHOOSE( CONTROL!$C$32, 11.3699, 11.3648) * CHOOSE(CONTROL!$C$15, $D$11, 100%, $F$11)</f>
        <v>11.369899999999999</v>
      </c>
      <c r="I441" s="8">
        <f>CHOOSE( CONTROL!$C$32, 10.3254, 10.3203) * CHOOSE(CONTROL!$C$15, $D$11, 100%, $F$11)</f>
        <v>10.3254</v>
      </c>
      <c r="J441" s="4">
        <f>CHOOSE( CONTROL!$C$32, 10.2667, 10.2617) * CHOOSE(CONTROL!$C$15, $D$11, 100%, $F$11)</f>
        <v>10.2667</v>
      </c>
      <c r="K441" s="4"/>
      <c r="L441" s="9">
        <v>29.520499999999998</v>
      </c>
      <c r="M441" s="9">
        <v>12.063700000000001</v>
      </c>
      <c r="N441" s="9">
        <v>4.9444999999999997</v>
      </c>
      <c r="O441" s="9">
        <v>0.37459999999999999</v>
      </c>
      <c r="P441" s="9">
        <v>1.2192000000000001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CONTROL!$C$32, 10.5473, 10.5421) * CHOOSE(CONTROL!$C$15, $D$11, 100%, $F$11)</f>
        <v>10.5473</v>
      </c>
      <c r="C442" s="8">
        <f>CHOOSE( CONTROL!$C$32, 10.5578, 10.5525) * CHOOSE(CONTROL!$C$15, $D$11, 100%, $F$11)</f>
        <v>10.5578</v>
      </c>
      <c r="D442" s="8">
        <f>CHOOSE( CONTROL!$C$32, 10.5782, 10.573) * CHOOSE( CONTROL!$C$15, $D$11, 100%, $F$11)</f>
        <v>10.578200000000001</v>
      </c>
      <c r="E442" s="12">
        <f>CHOOSE( CONTROL!$C$32, 10.5692, 10.564) * CHOOSE( CONTROL!$C$15, $D$11, 100%, $F$11)</f>
        <v>10.5692</v>
      </c>
      <c r="F442" s="4">
        <f>CHOOSE( CONTROL!$C$32, 11.5828, 11.5775) * CHOOSE(CONTROL!$C$15, $D$11, 100%, $F$11)</f>
        <v>11.582800000000001</v>
      </c>
      <c r="G442" s="8">
        <f>CHOOSE( CONTROL!$C$32, 10.2867, 10.2816) * CHOOSE( CONTROL!$C$15, $D$11, 100%, $F$11)</f>
        <v>10.2867</v>
      </c>
      <c r="H442" s="4">
        <f>CHOOSE( CONTROL!$C$32, 11.2143, 11.2092) * CHOOSE(CONTROL!$C$15, $D$11, 100%, $F$11)</f>
        <v>11.2143</v>
      </c>
      <c r="I442" s="8">
        <f>CHOOSE( CONTROL!$C$32, 10.1655, 10.1605) * CHOOSE(CONTROL!$C$15, $D$11, 100%, $F$11)</f>
        <v>10.1655</v>
      </c>
      <c r="J442" s="4">
        <f>CHOOSE( CONTROL!$C$32, 10.1017, 10.0967) * CHOOSE(CONTROL!$C$15, $D$11, 100%, $F$11)</f>
        <v>10.101699999999999</v>
      </c>
      <c r="K442" s="4"/>
      <c r="L442" s="9">
        <v>28.568200000000001</v>
      </c>
      <c r="M442" s="9">
        <v>11.6745</v>
      </c>
      <c r="N442" s="9">
        <v>4.7850000000000001</v>
      </c>
      <c r="O442" s="9">
        <v>0.36249999999999999</v>
      </c>
      <c r="P442" s="9">
        <v>1.1798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CONTROL!$C$32, 11.0008, 10.9955) * CHOOSE(CONTROL!$C$15, $D$11, 100%, $F$11)</f>
        <v>11.0008</v>
      </c>
      <c r="C443" s="8">
        <f>CHOOSE( CONTROL!$C$32, 11.0112, 11.0059) * CHOOSE(CONTROL!$C$15, $D$11, 100%, $F$11)</f>
        <v>11.011200000000001</v>
      </c>
      <c r="D443" s="8">
        <f>CHOOSE( CONTROL!$C$32, 11.0218, 11.0165) * CHOOSE( CONTROL!$C$15, $D$11, 100%, $F$11)</f>
        <v>11.021800000000001</v>
      </c>
      <c r="E443" s="12">
        <f>CHOOSE( CONTROL!$C$32, 11.0164, 11.0111) * CHOOSE( CONTROL!$C$15, $D$11, 100%, $F$11)</f>
        <v>11.016400000000001</v>
      </c>
      <c r="F443" s="4">
        <f>CHOOSE( CONTROL!$C$32, 12.0362, 12.0309) * CHOOSE(CONTROL!$C$15, $D$11, 100%, $F$11)</f>
        <v>12.036199999999999</v>
      </c>
      <c r="G443" s="8">
        <f>CHOOSE( CONTROL!$C$32, 10.7154, 10.7103) * CHOOSE( CONTROL!$C$15, $D$11, 100%, $F$11)</f>
        <v>10.715400000000001</v>
      </c>
      <c r="H443" s="4">
        <f>CHOOSE( CONTROL!$C$32, 11.6563, 11.6512) * CHOOSE(CONTROL!$C$15, $D$11, 100%, $F$11)</f>
        <v>11.6563</v>
      </c>
      <c r="I443" s="8">
        <f>CHOOSE( CONTROL!$C$32, 10.6036, 10.5986) * CHOOSE(CONTROL!$C$15, $D$11, 100%, $F$11)</f>
        <v>10.6036</v>
      </c>
      <c r="J443" s="4">
        <f>CHOOSE( CONTROL!$C$32, 10.5362, 10.5311) * CHOOSE(CONTROL!$C$15, $D$11, 100%, $F$11)</f>
        <v>10.536199999999999</v>
      </c>
      <c r="K443" s="4"/>
      <c r="L443" s="9">
        <v>29.520499999999998</v>
      </c>
      <c r="M443" s="9">
        <v>12.063700000000001</v>
      </c>
      <c r="N443" s="9">
        <v>4.9444999999999997</v>
      </c>
      <c r="O443" s="9">
        <v>0.37459999999999999</v>
      </c>
      <c r="P443" s="9">
        <v>1.2192000000000001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CONTROL!$C$32, 10.1524, 10.1471) * CHOOSE(CONTROL!$C$15, $D$11, 100%, $F$11)</f>
        <v>10.1524</v>
      </c>
      <c r="C444" s="8">
        <f>CHOOSE( CONTROL!$C$32, 10.1628, 10.1575) * CHOOSE(CONTROL!$C$15, $D$11, 100%, $F$11)</f>
        <v>10.162800000000001</v>
      </c>
      <c r="D444" s="8">
        <f>CHOOSE( CONTROL!$C$32, 10.1737, 10.1685) * CHOOSE( CONTROL!$C$15, $D$11, 100%, $F$11)</f>
        <v>10.1737</v>
      </c>
      <c r="E444" s="12">
        <f>CHOOSE( CONTROL!$C$32, 10.1682, 10.1629) * CHOOSE( CONTROL!$C$15, $D$11, 100%, $F$11)</f>
        <v>10.168200000000001</v>
      </c>
      <c r="F444" s="4">
        <f>CHOOSE( CONTROL!$C$32, 11.1878, 11.1825) * CHOOSE(CONTROL!$C$15, $D$11, 100%, $F$11)</f>
        <v>11.187799999999999</v>
      </c>
      <c r="G444" s="8">
        <f>CHOOSE( CONTROL!$C$32, 9.8889, 9.8838) * CHOOSE( CONTROL!$C$15, $D$11, 100%, $F$11)</f>
        <v>9.8888999999999996</v>
      </c>
      <c r="H444" s="4">
        <f>CHOOSE( CONTROL!$C$32, 10.8293, 10.8242) * CHOOSE(CONTROL!$C$15, $D$11, 100%, $F$11)</f>
        <v>10.8293</v>
      </c>
      <c r="I444" s="8">
        <f>CHOOSE( CONTROL!$C$32, 9.7919, 9.7868) * CHOOSE(CONTROL!$C$15, $D$11, 100%, $F$11)</f>
        <v>9.7919</v>
      </c>
      <c r="J444" s="4">
        <f>CHOOSE( CONTROL!$C$32, 9.7232, 9.7182) * CHOOSE(CONTROL!$C$15, $D$11, 100%, $F$11)</f>
        <v>9.7232000000000003</v>
      </c>
      <c r="K444" s="4"/>
      <c r="L444" s="9">
        <v>29.520499999999998</v>
      </c>
      <c r="M444" s="9">
        <v>12.063700000000001</v>
      </c>
      <c r="N444" s="9">
        <v>4.9444999999999997</v>
      </c>
      <c r="O444" s="9">
        <v>0.37459999999999999</v>
      </c>
      <c r="P444" s="9">
        <v>1.2192000000000001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CONTROL!$C$32, 9.9399, 9.9347) * CHOOSE(CONTROL!$C$15, $D$11, 100%, $F$11)</f>
        <v>9.9398999999999997</v>
      </c>
      <c r="C445" s="8">
        <f>CHOOSE( CONTROL!$C$32, 9.9504, 9.9451) * CHOOSE(CONTROL!$C$15, $D$11, 100%, $F$11)</f>
        <v>9.9504000000000001</v>
      </c>
      <c r="D445" s="8">
        <f>CHOOSE( CONTROL!$C$32, 9.9614, 9.9562) * CHOOSE( CONTROL!$C$15, $D$11, 100%, $F$11)</f>
        <v>9.9613999999999994</v>
      </c>
      <c r="E445" s="12">
        <f>CHOOSE( CONTROL!$C$32, 9.9558, 9.9506) * CHOOSE( CONTROL!$C$15, $D$11, 100%, $F$11)</f>
        <v>9.9558</v>
      </c>
      <c r="F445" s="4">
        <f>CHOOSE( CONTROL!$C$32, 10.9754, 10.9701) * CHOOSE(CONTROL!$C$15, $D$11, 100%, $F$11)</f>
        <v>10.9754</v>
      </c>
      <c r="G445" s="8">
        <f>CHOOSE( CONTROL!$C$32, 9.6821, 9.6769) * CHOOSE( CONTROL!$C$15, $D$11, 100%, $F$11)</f>
        <v>9.6821000000000002</v>
      </c>
      <c r="H445" s="4">
        <f>CHOOSE( CONTROL!$C$32, 10.6222, 10.6171) * CHOOSE(CONTROL!$C$15, $D$11, 100%, $F$11)</f>
        <v>10.622199999999999</v>
      </c>
      <c r="I445" s="8">
        <f>CHOOSE( CONTROL!$C$32, 9.5889, 9.5839) * CHOOSE(CONTROL!$C$15, $D$11, 100%, $F$11)</f>
        <v>9.5889000000000006</v>
      </c>
      <c r="J445" s="4">
        <f>CHOOSE( CONTROL!$C$32, 9.5197, 9.5146) * CHOOSE(CONTROL!$C$15, $D$11, 100%, $F$11)</f>
        <v>9.5197000000000003</v>
      </c>
      <c r="K445" s="4"/>
      <c r="L445" s="9">
        <v>28.568200000000001</v>
      </c>
      <c r="M445" s="9">
        <v>11.6745</v>
      </c>
      <c r="N445" s="9">
        <v>4.7850000000000001</v>
      </c>
      <c r="O445" s="9">
        <v>0.36249999999999999</v>
      </c>
      <c r="P445" s="9">
        <v>1.1798</v>
      </c>
      <c r="Q445" s="9">
        <v>19.3626</v>
      </c>
      <c r="R445" s="9"/>
      <c r="S445" s="11"/>
    </row>
    <row r="446" spans="1:19" ht="15.75">
      <c r="A446" s="13">
        <v>55457</v>
      </c>
      <c r="B446" s="8">
        <f>10.3758 * CHOOSE(CONTROL!$C$15, $D$11, 100%, $F$11)</f>
        <v>10.3758</v>
      </c>
      <c r="C446" s="8">
        <f>10.3862 * CHOOSE(CONTROL!$C$15, $D$11, 100%, $F$11)</f>
        <v>10.386200000000001</v>
      </c>
      <c r="D446" s="8">
        <f>10.3986 * CHOOSE( CONTROL!$C$15, $D$11, 100%, $F$11)</f>
        <v>10.3986</v>
      </c>
      <c r="E446" s="12">
        <f>10.3934 * CHOOSE( CONTROL!$C$15, $D$11, 100%, $F$11)</f>
        <v>10.3934</v>
      </c>
      <c r="F446" s="4">
        <f>11.4112 * CHOOSE(CONTROL!$C$15, $D$11, 100%, $F$11)</f>
        <v>11.411199999999999</v>
      </c>
      <c r="G446" s="8">
        <f>10.1063 * CHOOSE( CONTROL!$C$15, $D$11, 100%, $F$11)</f>
        <v>10.106299999999999</v>
      </c>
      <c r="H446" s="4">
        <f>11.0471 * CHOOSE(CONTROL!$C$15, $D$11, 100%, $F$11)</f>
        <v>11.0471</v>
      </c>
      <c r="I446" s="8">
        <f>10.0082 * CHOOSE(CONTROL!$C$15, $D$11, 100%, $F$11)</f>
        <v>10.0082</v>
      </c>
      <c r="J446" s="4">
        <f>9.9373 * CHOOSE(CONTROL!$C$15, $D$11, 100%, $F$11)</f>
        <v>9.9373000000000005</v>
      </c>
      <c r="K446" s="4"/>
      <c r="L446" s="9">
        <v>28.921800000000001</v>
      </c>
      <c r="M446" s="9">
        <v>12.063700000000001</v>
      </c>
      <c r="N446" s="9">
        <v>4.9444999999999997</v>
      </c>
      <c r="O446" s="9">
        <v>0.37459999999999999</v>
      </c>
      <c r="P446" s="9">
        <v>1.2192000000000001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11.19 * CHOOSE(CONTROL!$C$15, $D$11, 100%, $F$11)</f>
        <v>11.19</v>
      </c>
      <c r="C447" s="8">
        <f>11.2004 * CHOOSE(CONTROL!$C$15, $D$11, 100%, $F$11)</f>
        <v>11.2004</v>
      </c>
      <c r="D447" s="8">
        <f>11.1842 * CHOOSE( CONTROL!$C$15, $D$11, 100%, $F$11)</f>
        <v>11.184200000000001</v>
      </c>
      <c r="E447" s="12">
        <f>11.189 * CHOOSE( CONTROL!$C$15, $D$11, 100%, $F$11)</f>
        <v>11.189</v>
      </c>
      <c r="F447" s="4">
        <f>12.1842 * CHOOSE(CONTROL!$C$15, $D$11, 100%, $F$11)</f>
        <v>12.184200000000001</v>
      </c>
      <c r="G447" s="8">
        <f>10.9209 * CHOOSE( CONTROL!$C$15, $D$11, 100%, $F$11)</f>
        <v>10.9209</v>
      </c>
      <c r="H447" s="4">
        <f>11.8006 * CHOOSE(CONTROL!$C$15, $D$11, 100%, $F$11)</f>
        <v>11.800599999999999</v>
      </c>
      <c r="I447" s="8">
        <f>10.8256 * CHOOSE(CONTROL!$C$15, $D$11, 100%, $F$11)</f>
        <v>10.8256</v>
      </c>
      <c r="J447" s="4">
        <f>10.7175 * CHOOSE(CONTROL!$C$15, $D$11, 100%, $F$11)</f>
        <v>10.717499999999999</v>
      </c>
      <c r="K447" s="4"/>
      <c r="L447" s="9">
        <v>26.515499999999999</v>
      </c>
      <c r="M447" s="9">
        <v>11.6745</v>
      </c>
      <c r="N447" s="9">
        <v>4.7850000000000001</v>
      </c>
      <c r="O447" s="9">
        <v>0.36249999999999999</v>
      </c>
      <c r="P447" s="9">
        <v>1.2522</v>
      </c>
      <c r="Q447" s="9">
        <v>19.3626</v>
      </c>
      <c r="R447" s="9"/>
      <c r="S447" s="11"/>
    </row>
    <row r="448" spans="1:19" ht="15.75">
      <c r="A448" s="13">
        <v>55518</v>
      </c>
      <c r="B448" s="8">
        <f>11.1696 * CHOOSE(CONTROL!$C$15, $D$11, 100%, $F$11)</f>
        <v>11.169600000000001</v>
      </c>
      <c r="C448" s="8">
        <f>11.1801 * CHOOSE(CONTROL!$C$15, $D$11, 100%, $F$11)</f>
        <v>11.180099999999999</v>
      </c>
      <c r="D448" s="8">
        <f>11.1661 * CHOOSE( CONTROL!$C$15, $D$11, 100%, $F$11)</f>
        <v>11.1661</v>
      </c>
      <c r="E448" s="12">
        <f>11.1701 * CHOOSE( CONTROL!$C$15, $D$11, 100%, $F$11)</f>
        <v>11.1701</v>
      </c>
      <c r="F448" s="4">
        <f>12.1638 * CHOOSE(CONTROL!$C$15, $D$11, 100%, $F$11)</f>
        <v>12.1638</v>
      </c>
      <c r="G448" s="8">
        <f>10.9028 * CHOOSE( CONTROL!$C$15, $D$11, 100%, $F$11)</f>
        <v>10.902799999999999</v>
      </c>
      <c r="H448" s="4">
        <f>11.7807 * CHOOSE(CONTROL!$C$15, $D$11, 100%, $F$11)</f>
        <v>11.7807</v>
      </c>
      <c r="I448" s="8">
        <f>10.8136 * CHOOSE(CONTROL!$C$15, $D$11, 100%, $F$11)</f>
        <v>10.813599999999999</v>
      </c>
      <c r="J448" s="4">
        <f>10.698 * CHOOSE(CONTROL!$C$15, $D$11, 100%, $F$11)</f>
        <v>10.698</v>
      </c>
      <c r="K448" s="4"/>
      <c r="L448" s="9">
        <v>27.3993</v>
      </c>
      <c r="M448" s="9">
        <v>12.063700000000001</v>
      </c>
      <c r="N448" s="9">
        <v>4.9444999999999997</v>
      </c>
      <c r="O448" s="9">
        <v>0.37459999999999999</v>
      </c>
      <c r="P448" s="9">
        <v>1.2939000000000001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11.5963 * CHOOSE(CONTROL!$C$15, $D$11, 100%, $F$11)</f>
        <v>11.596299999999999</v>
      </c>
      <c r="C449" s="8">
        <f>11.6068 * CHOOSE(CONTROL!$C$15, $D$11, 100%, $F$11)</f>
        <v>11.6068</v>
      </c>
      <c r="D449" s="8">
        <f>11.6061 * CHOOSE( CONTROL!$C$15, $D$11, 100%, $F$11)</f>
        <v>11.6061</v>
      </c>
      <c r="E449" s="12">
        <f>11.6052 * CHOOSE( CONTROL!$C$15, $D$11, 100%, $F$11)</f>
        <v>11.6052</v>
      </c>
      <c r="F449" s="4">
        <f>12.6193 * CHOOSE(CONTROL!$C$15, $D$11, 100%, $F$11)</f>
        <v>12.619300000000001</v>
      </c>
      <c r="G449" s="8">
        <f>11.3323 * CHOOSE( CONTROL!$C$15, $D$11, 100%, $F$11)</f>
        <v>11.3323</v>
      </c>
      <c r="H449" s="4">
        <f>12.2246 * CHOOSE(CONTROL!$C$15, $D$11, 100%, $F$11)</f>
        <v>12.224600000000001</v>
      </c>
      <c r="I449" s="8">
        <f>11.221 * CHOOSE(CONTROL!$C$15, $D$11, 100%, $F$11)</f>
        <v>11.221</v>
      </c>
      <c r="J449" s="4">
        <f>11.1069 * CHOOSE(CONTROL!$C$15, $D$11, 100%, $F$11)</f>
        <v>11.1069</v>
      </c>
      <c r="K449" s="4"/>
      <c r="L449" s="9">
        <v>27.3993</v>
      </c>
      <c r="M449" s="9">
        <v>12.063700000000001</v>
      </c>
      <c r="N449" s="9">
        <v>4.9444999999999997</v>
      </c>
      <c r="O449" s="9">
        <v>0.37459999999999999</v>
      </c>
      <c r="P449" s="9">
        <v>1.2939000000000001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10.847 * CHOOSE(CONTROL!$C$15, $D$11, 100%, $F$11)</f>
        <v>10.847</v>
      </c>
      <c r="C450" s="8">
        <f>10.8574 * CHOOSE(CONTROL!$C$15, $D$11, 100%, $F$11)</f>
        <v>10.8574</v>
      </c>
      <c r="D450" s="8">
        <f>10.8589 * CHOOSE( CONTROL!$C$15, $D$11, 100%, $F$11)</f>
        <v>10.8589</v>
      </c>
      <c r="E450" s="12">
        <f>10.8572 * CHOOSE( CONTROL!$C$15, $D$11, 100%, $F$11)</f>
        <v>10.857200000000001</v>
      </c>
      <c r="F450" s="4">
        <f>11.8621 * CHOOSE(CONTROL!$C$15, $D$11, 100%, $F$11)</f>
        <v>11.8621</v>
      </c>
      <c r="G450" s="8">
        <f>10.6017 * CHOOSE( CONTROL!$C$15, $D$11, 100%, $F$11)</f>
        <v>10.601699999999999</v>
      </c>
      <c r="H450" s="4">
        <f>11.4866 * CHOOSE(CONTROL!$C$15, $D$11, 100%, $F$11)</f>
        <v>11.486599999999999</v>
      </c>
      <c r="I450" s="8">
        <f>10.4917 * CHOOSE(CONTROL!$C$15, $D$11, 100%, $F$11)</f>
        <v>10.4917</v>
      </c>
      <c r="J450" s="4">
        <f>10.3888 * CHOOSE(CONTROL!$C$15, $D$11, 100%, $F$11)</f>
        <v>10.3888</v>
      </c>
      <c r="K450" s="4"/>
      <c r="L450" s="9">
        <v>25.631599999999999</v>
      </c>
      <c r="M450" s="9">
        <v>11.285299999999999</v>
      </c>
      <c r="N450" s="9">
        <v>4.6254999999999997</v>
      </c>
      <c r="O450" s="9">
        <v>0.35039999999999999</v>
      </c>
      <c r="P450" s="9">
        <v>1.2104999999999999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10.6162 * CHOOSE(CONTROL!$C$15, $D$11, 100%, $F$11)</f>
        <v>10.616199999999999</v>
      </c>
      <c r="C451" s="8">
        <f>10.6266 * CHOOSE(CONTROL!$C$15, $D$11, 100%, $F$11)</f>
        <v>10.6266</v>
      </c>
      <c r="D451" s="8">
        <f>10.6076 * CHOOSE( CONTROL!$C$15, $D$11, 100%, $F$11)</f>
        <v>10.6076</v>
      </c>
      <c r="E451" s="12">
        <f>10.6134 * CHOOSE( CONTROL!$C$15, $D$11, 100%, $F$11)</f>
        <v>10.6134</v>
      </c>
      <c r="F451" s="4">
        <f>11.6151 * CHOOSE(CONTROL!$C$15, $D$11, 100%, $F$11)</f>
        <v>11.6151</v>
      </c>
      <c r="G451" s="8">
        <f>10.356 * CHOOSE( CONTROL!$C$15, $D$11, 100%, $F$11)</f>
        <v>10.356</v>
      </c>
      <c r="H451" s="4">
        <f>11.2458 * CHOOSE(CONTROL!$C$15, $D$11, 100%, $F$11)</f>
        <v>11.245799999999999</v>
      </c>
      <c r="I451" s="8">
        <f>10.2309 * CHOOSE(CONTROL!$C$15, $D$11, 100%, $F$11)</f>
        <v>10.2309</v>
      </c>
      <c r="J451" s="4">
        <f>10.1677 * CHOOSE(CONTROL!$C$15, $D$11, 100%, $F$11)</f>
        <v>10.1677</v>
      </c>
      <c r="K451" s="4"/>
      <c r="L451" s="9">
        <v>27.3993</v>
      </c>
      <c r="M451" s="9">
        <v>12.063700000000001</v>
      </c>
      <c r="N451" s="9">
        <v>4.9444999999999997</v>
      </c>
      <c r="O451" s="9">
        <v>0.37459999999999999</v>
      </c>
      <c r="P451" s="9">
        <v>1.2939000000000001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10.7775 * CHOOSE(CONTROL!$C$15, $D$11, 100%, $F$11)</f>
        <v>10.7775</v>
      </c>
      <c r="C452" s="8">
        <f>10.7879 * CHOOSE(CONTROL!$C$15, $D$11, 100%, $F$11)</f>
        <v>10.7879</v>
      </c>
      <c r="D452" s="8">
        <f>10.7919 * CHOOSE( CONTROL!$C$15, $D$11, 100%, $F$11)</f>
        <v>10.7919</v>
      </c>
      <c r="E452" s="12">
        <f>10.7894 * CHOOSE( CONTROL!$C$15, $D$11, 100%, $F$11)</f>
        <v>10.789400000000001</v>
      </c>
      <c r="F452" s="4">
        <f>11.7847 * CHOOSE(CONTROL!$C$15, $D$11, 100%, $F$11)</f>
        <v>11.784700000000001</v>
      </c>
      <c r="G452" s="8">
        <f>10.5015 * CHOOSE( CONTROL!$C$15, $D$11, 100%, $F$11)</f>
        <v>10.5015</v>
      </c>
      <c r="H452" s="4">
        <f>11.4112 * CHOOSE(CONTROL!$C$15, $D$11, 100%, $F$11)</f>
        <v>11.411199999999999</v>
      </c>
      <c r="I452" s="8">
        <f>10.3756 * CHOOSE(CONTROL!$C$15, $D$11, 100%, $F$11)</f>
        <v>10.3756</v>
      </c>
      <c r="J452" s="4">
        <f>10.3222 * CHOOSE(CONTROL!$C$15, $D$11, 100%, $F$11)</f>
        <v>10.3222</v>
      </c>
      <c r="K452" s="4"/>
      <c r="L452" s="9">
        <v>27.988800000000001</v>
      </c>
      <c r="M452" s="9">
        <v>11.6745</v>
      </c>
      <c r="N452" s="9">
        <v>4.7850000000000001</v>
      </c>
      <c r="O452" s="9">
        <v>0.36249999999999999</v>
      </c>
      <c r="P452" s="9">
        <v>1.1798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CONTROL!$C$32, 11.0698, 11.0645) * CHOOSE(CONTROL!$C$15, $D$11, 100%, $F$11)</f>
        <v>11.069800000000001</v>
      </c>
      <c r="C453" s="8">
        <f>CHOOSE( CONTROL!$C$32, 11.0802, 11.0749) * CHOOSE(CONTROL!$C$15, $D$11, 100%, $F$11)</f>
        <v>11.0802</v>
      </c>
      <c r="D453" s="8">
        <f>CHOOSE( CONTROL!$C$32, 11.093, 11.0878) * CHOOSE( CONTROL!$C$15, $D$11, 100%, $F$11)</f>
        <v>11.093</v>
      </c>
      <c r="E453" s="12">
        <f>CHOOSE( CONTROL!$C$32, 11.0868, 11.0815) * CHOOSE( CONTROL!$C$15, $D$11, 100%, $F$11)</f>
        <v>11.0868</v>
      </c>
      <c r="F453" s="4">
        <f>CHOOSE( CONTROL!$C$32, 12.0927, 12.0874) * CHOOSE(CONTROL!$C$15, $D$11, 100%, $F$11)</f>
        <v>12.092700000000001</v>
      </c>
      <c r="G453" s="8">
        <f>CHOOSE( CONTROL!$C$32, 10.7921, 10.7869) * CHOOSE( CONTROL!$C$15, $D$11, 100%, $F$11)</f>
        <v>10.7921</v>
      </c>
      <c r="H453" s="4">
        <f>CHOOSE( CONTROL!$C$32, 11.7113, 11.7062) * CHOOSE(CONTROL!$C$15, $D$11, 100%, $F$11)</f>
        <v>11.7113</v>
      </c>
      <c r="I453" s="8">
        <f>CHOOSE( CONTROL!$C$32, 10.6611, 10.6561) * CHOOSE(CONTROL!$C$15, $D$11, 100%, $F$11)</f>
        <v>10.661099999999999</v>
      </c>
      <c r="J453" s="4">
        <f>CHOOSE( CONTROL!$C$32, 10.6023, 10.5972) * CHOOSE(CONTROL!$C$15, $D$11, 100%, $F$11)</f>
        <v>10.6023</v>
      </c>
      <c r="K453" s="4"/>
      <c r="L453" s="9">
        <v>29.520499999999998</v>
      </c>
      <c r="M453" s="9">
        <v>12.063700000000001</v>
      </c>
      <c r="N453" s="9">
        <v>4.9444999999999997</v>
      </c>
      <c r="O453" s="9">
        <v>0.37459999999999999</v>
      </c>
      <c r="P453" s="9">
        <v>1.2192000000000001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CONTROL!$C$32, 10.8919, 10.8867) * CHOOSE(CONTROL!$C$15, $D$11, 100%, $F$11)</f>
        <v>10.8919</v>
      </c>
      <c r="C454" s="8">
        <f>CHOOSE( CONTROL!$C$32, 10.9024, 10.8971) * CHOOSE(CONTROL!$C$15, $D$11, 100%, $F$11)</f>
        <v>10.9024</v>
      </c>
      <c r="D454" s="8">
        <f>CHOOSE( CONTROL!$C$32, 10.9228, 10.9176) * CHOOSE( CONTROL!$C$15, $D$11, 100%, $F$11)</f>
        <v>10.922800000000001</v>
      </c>
      <c r="E454" s="12">
        <f>CHOOSE( CONTROL!$C$32, 10.9138, 10.9086) * CHOOSE( CONTROL!$C$15, $D$11, 100%, $F$11)</f>
        <v>10.9138</v>
      </c>
      <c r="F454" s="4">
        <f>CHOOSE( CONTROL!$C$32, 11.9274, 11.9221) * CHOOSE(CONTROL!$C$15, $D$11, 100%, $F$11)</f>
        <v>11.9274</v>
      </c>
      <c r="G454" s="8">
        <f>CHOOSE( CONTROL!$C$32, 10.6226, 10.6175) * CHOOSE( CONTROL!$C$15, $D$11, 100%, $F$11)</f>
        <v>10.6226</v>
      </c>
      <c r="H454" s="4">
        <f>CHOOSE( CONTROL!$C$32, 11.5502, 11.5451) * CHOOSE(CONTROL!$C$15, $D$11, 100%, $F$11)</f>
        <v>11.5502</v>
      </c>
      <c r="I454" s="8">
        <f>CHOOSE( CONTROL!$C$32, 10.4959, 10.4909) * CHOOSE(CONTROL!$C$15, $D$11, 100%, $F$11)</f>
        <v>10.495900000000001</v>
      </c>
      <c r="J454" s="4">
        <f>CHOOSE( CONTROL!$C$32, 10.4319, 10.4269) * CHOOSE(CONTROL!$C$15, $D$11, 100%, $F$11)</f>
        <v>10.431900000000001</v>
      </c>
      <c r="K454" s="4"/>
      <c r="L454" s="9">
        <v>28.568200000000001</v>
      </c>
      <c r="M454" s="9">
        <v>11.6745</v>
      </c>
      <c r="N454" s="9">
        <v>4.7850000000000001</v>
      </c>
      <c r="O454" s="9">
        <v>0.36249999999999999</v>
      </c>
      <c r="P454" s="9">
        <v>1.1798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CONTROL!$C$32, 11.3602, 11.3549) * CHOOSE(CONTROL!$C$15, $D$11, 100%, $F$11)</f>
        <v>11.360200000000001</v>
      </c>
      <c r="C455" s="8">
        <f>CHOOSE( CONTROL!$C$32, 11.3706, 11.3654) * CHOOSE(CONTROL!$C$15, $D$11, 100%, $F$11)</f>
        <v>11.3706</v>
      </c>
      <c r="D455" s="8">
        <f>CHOOSE( CONTROL!$C$32, 11.3812, 11.376) * CHOOSE( CONTROL!$C$15, $D$11, 100%, $F$11)</f>
        <v>11.3812</v>
      </c>
      <c r="E455" s="12">
        <f>CHOOSE( CONTROL!$C$32, 11.3758, 11.3706) * CHOOSE( CONTROL!$C$15, $D$11, 100%, $F$11)</f>
        <v>11.3758</v>
      </c>
      <c r="F455" s="4">
        <f>CHOOSE( CONTROL!$C$32, 12.3956, 12.3904) * CHOOSE(CONTROL!$C$15, $D$11, 100%, $F$11)</f>
        <v>12.3956</v>
      </c>
      <c r="G455" s="8">
        <f>CHOOSE( CONTROL!$C$32, 11.0658, 11.0607) * CHOOSE( CONTROL!$C$15, $D$11, 100%, $F$11)</f>
        <v>11.065799999999999</v>
      </c>
      <c r="H455" s="4">
        <f>CHOOSE( CONTROL!$C$32, 12.0067, 12.0015) * CHOOSE(CONTROL!$C$15, $D$11, 100%, $F$11)</f>
        <v>12.0067</v>
      </c>
      <c r="I455" s="8">
        <f>CHOOSE( CONTROL!$C$32, 10.9482, 10.9431) * CHOOSE(CONTROL!$C$15, $D$11, 100%, $F$11)</f>
        <v>10.9482</v>
      </c>
      <c r="J455" s="4">
        <f>CHOOSE( CONTROL!$C$32, 10.8806, 10.8755) * CHOOSE(CONTROL!$C$15, $D$11, 100%, $F$11)</f>
        <v>10.880599999999999</v>
      </c>
      <c r="K455" s="4"/>
      <c r="L455" s="9">
        <v>29.520499999999998</v>
      </c>
      <c r="M455" s="9">
        <v>12.063700000000001</v>
      </c>
      <c r="N455" s="9">
        <v>4.9444999999999997</v>
      </c>
      <c r="O455" s="9">
        <v>0.37459999999999999</v>
      </c>
      <c r="P455" s="9">
        <v>1.2192000000000001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CONTROL!$C$32, 10.4841, 10.4788) * CHOOSE(CONTROL!$C$15, $D$11, 100%, $F$11)</f>
        <v>10.4841</v>
      </c>
      <c r="C456" s="8">
        <f>CHOOSE( CONTROL!$C$32, 10.4945, 10.4892) * CHOOSE(CONTROL!$C$15, $D$11, 100%, $F$11)</f>
        <v>10.4945</v>
      </c>
      <c r="D456" s="8">
        <f>CHOOSE( CONTROL!$C$32, 10.5054, 10.5002) * CHOOSE( CONTROL!$C$15, $D$11, 100%, $F$11)</f>
        <v>10.5054</v>
      </c>
      <c r="E456" s="12">
        <f>CHOOSE( CONTROL!$C$32, 10.4999, 10.4946) * CHOOSE( CONTROL!$C$15, $D$11, 100%, $F$11)</f>
        <v>10.4999</v>
      </c>
      <c r="F456" s="4">
        <f>CHOOSE( CONTROL!$C$32, 11.5195, 11.5142) * CHOOSE(CONTROL!$C$15, $D$11, 100%, $F$11)</f>
        <v>11.519500000000001</v>
      </c>
      <c r="G456" s="8">
        <f>CHOOSE( CONTROL!$C$32, 10.2123, 10.2071) * CHOOSE( CONTROL!$C$15, $D$11, 100%, $F$11)</f>
        <v>10.212300000000001</v>
      </c>
      <c r="H456" s="4">
        <f>CHOOSE( CONTROL!$C$32, 11.1526, 11.1475) * CHOOSE(CONTROL!$C$15, $D$11, 100%, $F$11)</f>
        <v>11.1526</v>
      </c>
      <c r="I456" s="8">
        <f>CHOOSE( CONTROL!$C$32, 10.1099, 10.1048) * CHOOSE(CONTROL!$C$15, $D$11, 100%, $F$11)</f>
        <v>10.1099</v>
      </c>
      <c r="J456" s="4">
        <f>CHOOSE( CONTROL!$C$32, 10.0411, 10.036) * CHOOSE(CONTROL!$C$15, $D$11, 100%, $F$11)</f>
        <v>10.0411</v>
      </c>
      <c r="K456" s="4"/>
      <c r="L456" s="9">
        <v>29.520499999999998</v>
      </c>
      <c r="M456" s="9">
        <v>12.063700000000001</v>
      </c>
      <c r="N456" s="9">
        <v>4.9444999999999997</v>
      </c>
      <c r="O456" s="9">
        <v>0.37459999999999999</v>
      </c>
      <c r="P456" s="9">
        <v>1.2192000000000001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CONTROL!$C$32, 10.2647, 10.2594) * CHOOSE(CONTROL!$C$15, $D$11, 100%, $F$11)</f>
        <v>10.264699999999999</v>
      </c>
      <c r="C457" s="8">
        <f>CHOOSE( CONTROL!$C$32, 10.2751, 10.2698) * CHOOSE(CONTROL!$C$15, $D$11, 100%, $F$11)</f>
        <v>10.2751</v>
      </c>
      <c r="D457" s="8">
        <f>CHOOSE( CONTROL!$C$32, 10.2862, 10.2809) * CHOOSE( CONTROL!$C$15, $D$11, 100%, $F$11)</f>
        <v>10.286199999999999</v>
      </c>
      <c r="E457" s="12">
        <f>CHOOSE( CONTROL!$C$32, 10.2806, 10.2753) * CHOOSE( CONTROL!$C$15, $D$11, 100%, $F$11)</f>
        <v>10.2806</v>
      </c>
      <c r="F457" s="4">
        <f>CHOOSE( CONTROL!$C$32, 11.3001, 11.2948) * CHOOSE(CONTROL!$C$15, $D$11, 100%, $F$11)</f>
        <v>11.3001</v>
      </c>
      <c r="G457" s="8">
        <f>CHOOSE( CONTROL!$C$32, 9.9986, 9.9935) * CHOOSE( CONTROL!$C$15, $D$11, 100%, $F$11)</f>
        <v>9.9985999999999997</v>
      </c>
      <c r="H457" s="4">
        <f>CHOOSE( CONTROL!$C$32, 10.9388, 10.9336) * CHOOSE(CONTROL!$C$15, $D$11, 100%, $F$11)</f>
        <v>10.938800000000001</v>
      </c>
      <c r="I457" s="8">
        <f>CHOOSE( CONTROL!$C$32, 9.9002, 9.8952) * CHOOSE(CONTROL!$C$15, $D$11, 100%, $F$11)</f>
        <v>9.9001999999999999</v>
      </c>
      <c r="J457" s="4">
        <f>CHOOSE( CONTROL!$C$32, 9.8308, 9.8258) * CHOOSE(CONTROL!$C$15, $D$11, 100%, $F$11)</f>
        <v>9.8308</v>
      </c>
      <c r="K457" s="4"/>
      <c r="L457" s="9">
        <v>28.568200000000001</v>
      </c>
      <c r="M457" s="9">
        <v>11.6745</v>
      </c>
      <c r="N457" s="9">
        <v>4.7850000000000001</v>
      </c>
      <c r="O457" s="9">
        <v>0.36249999999999999</v>
      </c>
      <c r="P457" s="9">
        <v>1.1798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10.7149 * CHOOSE(CONTROL!$C$15, $D$11, 100%, $F$11)</f>
        <v>10.7149</v>
      </c>
      <c r="C458" s="8">
        <f>10.7254 * CHOOSE(CONTROL!$C$15, $D$11, 100%, $F$11)</f>
        <v>10.7254</v>
      </c>
      <c r="D458" s="8">
        <f>10.7378 * CHOOSE( CONTROL!$C$15, $D$11, 100%, $F$11)</f>
        <v>10.7378</v>
      </c>
      <c r="E458" s="12">
        <f>10.7326 * CHOOSE( CONTROL!$C$15, $D$11, 100%, $F$11)</f>
        <v>10.7326</v>
      </c>
      <c r="F458" s="4">
        <f>11.7504 * CHOOSE(CONTROL!$C$15, $D$11, 100%, $F$11)</f>
        <v>11.750400000000001</v>
      </c>
      <c r="G458" s="8">
        <f>10.4369 * CHOOSE( CONTROL!$C$15, $D$11, 100%, $F$11)</f>
        <v>10.4369</v>
      </c>
      <c r="H458" s="4">
        <f>11.3777 * CHOOSE(CONTROL!$C$15, $D$11, 100%, $F$11)</f>
        <v>11.377700000000001</v>
      </c>
      <c r="I458" s="8">
        <f>10.3333 * CHOOSE(CONTROL!$C$15, $D$11, 100%, $F$11)</f>
        <v>10.333299999999999</v>
      </c>
      <c r="J458" s="4">
        <f>10.2623 * CHOOSE(CONTROL!$C$15, $D$11, 100%, $F$11)</f>
        <v>10.2623</v>
      </c>
      <c r="K458" s="4"/>
      <c r="L458" s="9">
        <v>28.921800000000001</v>
      </c>
      <c r="M458" s="9">
        <v>12.063700000000001</v>
      </c>
      <c r="N458" s="9">
        <v>4.9444999999999997</v>
      </c>
      <c r="O458" s="9">
        <v>0.37459999999999999</v>
      </c>
      <c r="P458" s="9">
        <v>1.2192000000000001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11.5558 * CHOOSE(CONTROL!$C$15, $D$11, 100%, $F$11)</f>
        <v>11.5558</v>
      </c>
      <c r="C459" s="8">
        <f>11.5662 * CHOOSE(CONTROL!$C$15, $D$11, 100%, $F$11)</f>
        <v>11.5662</v>
      </c>
      <c r="D459" s="8">
        <f>11.55 * CHOOSE( CONTROL!$C$15, $D$11, 100%, $F$11)</f>
        <v>11.55</v>
      </c>
      <c r="E459" s="12">
        <f>11.5548 * CHOOSE( CONTROL!$C$15, $D$11, 100%, $F$11)</f>
        <v>11.5548</v>
      </c>
      <c r="F459" s="4">
        <f>12.55 * CHOOSE(CONTROL!$C$15, $D$11, 100%, $F$11)</f>
        <v>12.55</v>
      </c>
      <c r="G459" s="8">
        <f>11.2775 * CHOOSE( CONTROL!$C$15, $D$11, 100%, $F$11)</f>
        <v>11.2775</v>
      </c>
      <c r="H459" s="4">
        <f>12.1571 * CHOOSE(CONTROL!$C$15, $D$11, 100%, $F$11)</f>
        <v>12.1571</v>
      </c>
      <c r="I459" s="8">
        <f>11.1762 * CHOOSE(CONTROL!$C$15, $D$11, 100%, $F$11)</f>
        <v>11.1762</v>
      </c>
      <c r="J459" s="4">
        <f>11.068 * CHOOSE(CONTROL!$C$15, $D$11, 100%, $F$11)</f>
        <v>11.068</v>
      </c>
      <c r="K459" s="4"/>
      <c r="L459" s="9">
        <v>26.515499999999999</v>
      </c>
      <c r="M459" s="9">
        <v>11.6745</v>
      </c>
      <c r="N459" s="9">
        <v>4.7850000000000001</v>
      </c>
      <c r="O459" s="9">
        <v>0.36249999999999999</v>
      </c>
      <c r="P459" s="9">
        <v>1.2522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11.5348 * CHOOSE(CONTROL!$C$15, $D$11, 100%, $F$11)</f>
        <v>11.534800000000001</v>
      </c>
      <c r="C460" s="8">
        <f>11.5452 * CHOOSE(CONTROL!$C$15, $D$11, 100%, $F$11)</f>
        <v>11.545199999999999</v>
      </c>
      <c r="D460" s="8">
        <f>11.5313 * CHOOSE( CONTROL!$C$15, $D$11, 100%, $F$11)</f>
        <v>11.5313</v>
      </c>
      <c r="E460" s="12">
        <f>11.5353 * CHOOSE( CONTROL!$C$15, $D$11, 100%, $F$11)</f>
        <v>11.535299999999999</v>
      </c>
      <c r="F460" s="4">
        <f>12.529 * CHOOSE(CONTROL!$C$15, $D$11, 100%, $F$11)</f>
        <v>12.529</v>
      </c>
      <c r="G460" s="8">
        <f>11.2587 * CHOOSE( CONTROL!$C$15, $D$11, 100%, $F$11)</f>
        <v>11.258699999999999</v>
      </c>
      <c r="H460" s="4">
        <f>12.1366 * CHOOSE(CONTROL!$C$15, $D$11, 100%, $F$11)</f>
        <v>12.1366</v>
      </c>
      <c r="I460" s="8">
        <f>11.1637 * CHOOSE(CONTROL!$C$15, $D$11, 100%, $F$11)</f>
        <v>11.1637</v>
      </c>
      <c r="J460" s="4">
        <f>11.0479 * CHOOSE(CONTROL!$C$15, $D$11, 100%, $F$11)</f>
        <v>11.0479</v>
      </c>
      <c r="K460" s="4"/>
      <c r="L460" s="9">
        <v>27.3993</v>
      </c>
      <c r="M460" s="9">
        <v>12.063700000000001</v>
      </c>
      <c r="N460" s="9">
        <v>4.9444999999999997</v>
      </c>
      <c r="O460" s="9">
        <v>0.37459999999999999</v>
      </c>
      <c r="P460" s="9">
        <v>1.2939000000000001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11.9754 * CHOOSE(CONTROL!$C$15, $D$11, 100%, $F$11)</f>
        <v>11.9754</v>
      </c>
      <c r="C461" s="8">
        <f>11.9859 * CHOOSE(CONTROL!$C$15, $D$11, 100%, $F$11)</f>
        <v>11.985900000000001</v>
      </c>
      <c r="D461" s="8">
        <f>11.9852 * CHOOSE( CONTROL!$C$15, $D$11, 100%, $F$11)</f>
        <v>11.985200000000001</v>
      </c>
      <c r="E461" s="12">
        <f>11.9843 * CHOOSE( CONTROL!$C$15, $D$11, 100%, $F$11)</f>
        <v>11.984299999999999</v>
      </c>
      <c r="F461" s="4">
        <f>12.9983 * CHOOSE(CONTROL!$C$15, $D$11, 100%, $F$11)</f>
        <v>12.9983</v>
      </c>
      <c r="G461" s="8">
        <f>11.7019 * CHOOSE( CONTROL!$C$15, $D$11, 100%, $F$11)</f>
        <v>11.7019</v>
      </c>
      <c r="H461" s="4">
        <f>12.5942 * CHOOSE(CONTROL!$C$15, $D$11, 100%, $F$11)</f>
        <v>12.594200000000001</v>
      </c>
      <c r="I461" s="8">
        <f>11.5844 * CHOOSE(CONTROL!$C$15, $D$11, 100%, $F$11)</f>
        <v>11.5844</v>
      </c>
      <c r="J461" s="4">
        <f>11.4701 * CHOOSE(CONTROL!$C$15, $D$11, 100%, $F$11)</f>
        <v>11.4701</v>
      </c>
      <c r="K461" s="4"/>
      <c r="L461" s="9">
        <v>27.3993</v>
      </c>
      <c r="M461" s="9">
        <v>12.063700000000001</v>
      </c>
      <c r="N461" s="9">
        <v>4.9444999999999997</v>
      </c>
      <c r="O461" s="9">
        <v>0.37459999999999999</v>
      </c>
      <c r="P461" s="9">
        <v>1.2939000000000001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11.2016 * CHOOSE(CONTROL!$C$15, $D$11, 100%, $F$11)</f>
        <v>11.201599999999999</v>
      </c>
      <c r="C462" s="8">
        <f>11.212 * CHOOSE(CONTROL!$C$15, $D$11, 100%, $F$11)</f>
        <v>11.212</v>
      </c>
      <c r="D462" s="8">
        <f>11.2135 * CHOOSE( CONTROL!$C$15, $D$11, 100%, $F$11)</f>
        <v>11.2135</v>
      </c>
      <c r="E462" s="12">
        <f>11.2118 * CHOOSE( CONTROL!$C$15, $D$11, 100%, $F$11)</f>
        <v>11.2118</v>
      </c>
      <c r="F462" s="4">
        <f>12.2166 * CHOOSE(CONTROL!$C$15, $D$11, 100%, $F$11)</f>
        <v>12.2166</v>
      </c>
      <c r="G462" s="8">
        <f>10.9473 * CHOOSE( CONTROL!$C$15, $D$11, 100%, $F$11)</f>
        <v>10.9473</v>
      </c>
      <c r="H462" s="4">
        <f>11.8322 * CHOOSE(CONTROL!$C$15, $D$11, 100%, $F$11)</f>
        <v>11.8322</v>
      </c>
      <c r="I462" s="8">
        <f>10.8316 * CHOOSE(CONTROL!$C$15, $D$11, 100%, $F$11)</f>
        <v>10.8316</v>
      </c>
      <c r="J462" s="4">
        <f>10.7286 * CHOOSE(CONTROL!$C$15, $D$11, 100%, $F$11)</f>
        <v>10.7286</v>
      </c>
      <c r="K462" s="4"/>
      <c r="L462" s="9">
        <v>24.747800000000002</v>
      </c>
      <c r="M462" s="9">
        <v>10.8962</v>
      </c>
      <c r="N462" s="9">
        <v>4.4660000000000002</v>
      </c>
      <c r="O462" s="9">
        <v>0.33829999999999999</v>
      </c>
      <c r="P462" s="9">
        <v>1.1687000000000001</v>
      </c>
      <c r="Q462" s="9">
        <v>17.9542</v>
      </c>
      <c r="R462" s="9"/>
      <c r="S462" s="11"/>
    </row>
    <row r="463" spans="1:19" ht="15.75">
      <c r="A463" s="13">
        <v>55974</v>
      </c>
      <c r="B463" s="8">
        <f>10.9632 * CHOOSE(CONTROL!$C$15, $D$11, 100%, $F$11)</f>
        <v>10.963200000000001</v>
      </c>
      <c r="C463" s="8">
        <f>10.9736 * CHOOSE(CONTROL!$C$15, $D$11, 100%, $F$11)</f>
        <v>10.973599999999999</v>
      </c>
      <c r="D463" s="8">
        <f>10.9547 * CHOOSE( CONTROL!$C$15, $D$11, 100%, $F$11)</f>
        <v>10.954700000000001</v>
      </c>
      <c r="E463" s="12">
        <f>10.9605 * CHOOSE( CONTROL!$C$15, $D$11, 100%, $F$11)</f>
        <v>10.9605</v>
      </c>
      <c r="F463" s="4">
        <f>11.9621 * CHOOSE(CONTROL!$C$15, $D$11, 100%, $F$11)</f>
        <v>11.9621</v>
      </c>
      <c r="G463" s="8">
        <f>10.6942 * CHOOSE( CONTROL!$C$15, $D$11, 100%, $F$11)</f>
        <v>10.6942</v>
      </c>
      <c r="H463" s="4">
        <f>11.5841 * CHOOSE(CONTROL!$C$15, $D$11, 100%, $F$11)</f>
        <v>11.584099999999999</v>
      </c>
      <c r="I463" s="8">
        <f>10.5636 * CHOOSE(CONTROL!$C$15, $D$11, 100%, $F$11)</f>
        <v>10.563599999999999</v>
      </c>
      <c r="J463" s="4">
        <f>10.5002 * CHOOSE(CONTROL!$C$15, $D$11, 100%, $F$11)</f>
        <v>10.5002</v>
      </c>
      <c r="K463" s="4"/>
      <c r="L463" s="9">
        <v>27.3993</v>
      </c>
      <c r="M463" s="9">
        <v>12.063700000000001</v>
      </c>
      <c r="N463" s="9">
        <v>4.9444999999999997</v>
      </c>
      <c r="O463" s="9">
        <v>0.37459999999999999</v>
      </c>
      <c r="P463" s="9">
        <v>1.2939000000000001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11.1298 * CHOOSE(CONTROL!$C$15, $D$11, 100%, $F$11)</f>
        <v>11.129799999999999</v>
      </c>
      <c r="C464" s="8">
        <f>11.1402 * CHOOSE(CONTROL!$C$15, $D$11, 100%, $F$11)</f>
        <v>11.1402</v>
      </c>
      <c r="D464" s="8">
        <f>11.1442 * CHOOSE( CONTROL!$C$15, $D$11, 100%, $F$11)</f>
        <v>11.1442</v>
      </c>
      <c r="E464" s="12">
        <f>11.1417 * CHOOSE( CONTROL!$C$15, $D$11, 100%, $F$11)</f>
        <v>11.1417</v>
      </c>
      <c r="F464" s="4">
        <f>12.137 * CHOOSE(CONTROL!$C$15, $D$11, 100%, $F$11)</f>
        <v>12.137</v>
      </c>
      <c r="G464" s="8">
        <f>10.845 * CHOOSE( CONTROL!$C$15, $D$11, 100%, $F$11)</f>
        <v>10.845000000000001</v>
      </c>
      <c r="H464" s="4">
        <f>11.7546 * CHOOSE(CONTROL!$C$15, $D$11, 100%, $F$11)</f>
        <v>11.7546</v>
      </c>
      <c r="I464" s="8">
        <f>10.7133 * CHOOSE(CONTROL!$C$15, $D$11, 100%, $F$11)</f>
        <v>10.7133</v>
      </c>
      <c r="J464" s="4">
        <f>10.6598 * CHOOSE(CONTROL!$C$15, $D$11, 100%, $F$11)</f>
        <v>10.659800000000001</v>
      </c>
      <c r="K464" s="4"/>
      <c r="L464" s="9">
        <v>27.988800000000001</v>
      </c>
      <c r="M464" s="9">
        <v>11.6745</v>
      </c>
      <c r="N464" s="9">
        <v>4.7850000000000001</v>
      </c>
      <c r="O464" s="9">
        <v>0.36249999999999999</v>
      </c>
      <c r="P464" s="9">
        <v>1.1798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CONTROL!$C$32, 11.4314, 11.4262) * CHOOSE(CONTROL!$C$15, $D$11, 100%, $F$11)</f>
        <v>11.4314</v>
      </c>
      <c r="C465" s="8">
        <f>CHOOSE( CONTROL!$C$32, 11.4419, 11.4366) * CHOOSE(CONTROL!$C$15, $D$11, 100%, $F$11)</f>
        <v>11.4419</v>
      </c>
      <c r="D465" s="8">
        <f>CHOOSE( CONTROL!$C$32, 11.4547, 11.4495) * CHOOSE( CONTROL!$C$15, $D$11, 100%, $F$11)</f>
        <v>11.454700000000001</v>
      </c>
      <c r="E465" s="12">
        <f>CHOOSE( CONTROL!$C$32, 11.4485, 11.4432) * CHOOSE( CONTROL!$C$15, $D$11, 100%, $F$11)</f>
        <v>11.448499999999999</v>
      </c>
      <c r="F465" s="4">
        <f>CHOOSE( CONTROL!$C$32, 12.4544, 12.4491) * CHOOSE(CONTROL!$C$15, $D$11, 100%, $F$11)</f>
        <v>12.4544</v>
      </c>
      <c r="G465" s="8">
        <f>CHOOSE( CONTROL!$C$32, 11.1446, 11.1395) * CHOOSE( CONTROL!$C$15, $D$11, 100%, $F$11)</f>
        <v>11.144600000000001</v>
      </c>
      <c r="H465" s="4">
        <f>CHOOSE( CONTROL!$C$32, 12.0639, 12.0588) * CHOOSE(CONTROL!$C$15, $D$11, 100%, $F$11)</f>
        <v>12.0639</v>
      </c>
      <c r="I465" s="8">
        <f>CHOOSE( CONTROL!$C$32, 11.0079, 11.0028) * CHOOSE(CONTROL!$C$15, $D$11, 100%, $F$11)</f>
        <v>11.007899999999999</v>
      </c>
      <c r="J465" s="4">
        <f>CHOOSE( CONTROL!$C$32, 10.9489, 10.9438) * CHOOSE(CONTROL!$C$15, $D$11, 100%, $F$11)</f>
        <v>10.9489</v>
      </c>
      <c r="K465" s="4"/>
      <c r="L465" s="9">
        <v>29.520499999999998</v>
      </c>
      <c r="M465" s="9">
        <v>12.063700000000001</v>
      </c>
      <c r="N465" s="9">
        <v>4.9444999999999997</v>
      </c>
      <c r="O465" s="9">
        <v>0.37459999999999999</v>
      </c>
      <c r="P465" s="9">
        <v>1.2192000000000001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CONTROL!$C$32, 11.2478, 11.2426) * CHOOSE(CONTROL!$C$15, $D$11, 100%, $F$11)</f>
        <v>11.2478</v>
      </c>
      <c r="C466" s="8">
        <f>CHOOSE( CONTROL!$C$32, 11.2583, 11.253) * CHOOSE(CONTROL!$C$15, $D$11, 100%, $F$11)</f>
        <v>11.2583</v>
      </c>
      <c r="D466" s="8">
        <f>CHOOSE( CONTROL!$C$32, 11.2787, 11.2734) * CHOOSE( CONTROL!$C$15, $D$11, 100%, $F$11)</f>
        <v>11.278700000000001</v>
      </c>
      <c r="E466" s="12">
        <f>CHOOSE( CONTROL!$C$32, 11.2697, 11.2644) * CHOOSE( CONTROL!$C$15, $D$11, 100%, $F$11)</f>
        <v>11.2697</v>
      </c>
      <c r="F466" s="4">
        <f>CHOOSE( CONTROL!$C$32, 12.2833, 12.278) * CHOOSE(CONTROL!$C$15, $D$11, 100%, $F$11)</f>
        <v>12.283300000000001</v>
      </c>
      <c r="G466" s="8">
        <f>CHOOSE( CONTROL!$C$32, 10.9695, 10.9644) * CHOOSE( CONTROL!$C$15, $D$11, 100%, $F$11)</f>
        <v>10.9695</v>
      </c>
      <c r="H466" s="4">
        <f>CHOOSE( CONTROL!$C$32, 11.8971, 11.892) * CHOOSE(CONTROL!$C$15, $D$11, 100%, $F$11)</f>
        <v>11.8971</v>
      </c>
      <c r="I466" s="8">
        <f>CHOOSE( CONTROL!$C$32, 10.8371, 10.832) * CHOOSE(CONTROL!$C$15, $D$11, 100%, $F$11)</f>
        <v>10.8371</v>
      </c>
      <c r="J466" s="4">
        <f>CHOOSE( CONTROL!$C$32, 10.7729, 10.7679) * CHOOSE(CONTROL!$C$15, $D$11, 100%, $F$11)</f>
        <v>10.7729</v>
      </c>
      <c r="K466" s="4"/>
      <c r="L466" s="9">
        <v>28.568200000000001</v>
      </c>
      <c r="M466" s="9">
        <v>11.6745</v>
      </c>
      <c r="N466" s="9">
        <v>4.7850000000000001</v>
      </c>
      <c r="O466" s="9">
        <v>0.36249999999999999</v>
      </c>
      <c r="P466" s="9">
        <v>1.1798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CONTROL!$C$32, 11.7314, 11.7261) * CHOOSE(CONTROL!$C$15, $D$11, 100%, $F$11)</f>
        <v>11.731400000000001</v>
      </c>
      <c r="C467" s="8">
        <f>CHOOSE( CONTROL!$C$32, 11.7418, 11.7366) * CHOOSE(CONTROL!$C$15, $D$11, 100%, $F$11)</f>
        <v>11.7418</v>
      </c>
      <c r="D467" s="8">
        <f>CHOOSE( CONTROL!$C$32, 11.7524, 11.7472) * CHOOSE( CONTROL!$C$15, $D$11, 100%, $F$11)</f>
        <v>11.7524</v>
      </c>
      <c r="E467" s="12">
        <f>CHOOSE( CONTROL!$C$32, 11.747, 11.7418) * CHOOSE( CONTROL!$C$15, $D$11, 100%, $F$11)</f>
        <v>11.747</v>
      </c>
      <c r="F467" s="4">
        <f>CHOOSE( CONTROL!$C$32, 12.7668, 12.7616) * CHOOSE(CONTROL!$C$15, $D$11, 100%, $F$11)</f>
        <v>12.7668</v>
      </c>
      <c r="G467" s="8">
        <f>CHOOSE( CONTROL!$C$32, 11.4276, 11.4225) * CHOOSE( CONTROL!$C$15, $D$11, 100%, $F$11)</f>
        <v>11.4276</v>
      </c>
      <c r="H467" s="4">
        <f>CHOOSE( CONTROL!$C$32, 12.3685, 12.3633) * CHOOSE(CONTROL!$C$15, $D$11, 100%, $F$11)</f>
        <v>12.368499999999999</v>
      </c>
      <c r="I467" s="8">
        <f>CHOOSE( CONTROL!$C$32, 11.304, 11.299) * CHOOSE(CONTROL!$C$15, $D$11, 100%, $F$11)</f>
        <v>11.304</v>
      </c>
      <c r="J467" s="4">
        <f>CHOOSE( CONTROL!$C$32, 11.2362, 11.2312) * CHOOSE(CONTROL!$C$15, $D$11, 100%, $F$11)</f>
        <v>11.2362</v>
      </c>
      <c r="K467" s="4"/>
      <c r="L467" s="9">
        <v>29.520499999999998</v>
      </c>
      <c r="M467" s="9">
        <v>12.063700000000001</v>
      </c>
      <c r="N467" s="9">
        <v>4.9444999999999997</v>
      </c>
      <c r="O467" s="9">
        <v>0.37459999999999999</v>
      </c>
      <c r="P467" s="9">
        <v>1.2192000000000001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CONTROL!$C$32, 10.8266, 10.8213) * CHOOSE(CONTROL!$C$15, $D$11, 100%, $F$11)</f>
        <v>10.826599999999999</v>
      </c>
      <c r="C468" s="8">
        <f>CHOOSE( CONTROL!$C$32, 10.837, 10.8318) * CHOOSE(CONTROL!$C$15, $D$11, 100%, $F$11)</f>
        <v>10.837</v>
      </c>
      <c r="D468" s="8">
        <f>CHOOSE( CONTROL!$C$32, 10.848, 10.8427) * CHOOSE( CONTROL!$C$15, $D$11, 100%, $F$11)</f>
        <v>10.848000000000001</v>
      </c>
      <c r="E468" s="12">
        <f>CHOOSE( CONTROL!$C$32, 10.8424, 10.8371) * CHOOSE( CONTROL!$C$15, $D$11, 100%, $F$11)</f>
        <v>10.8424</v>
      </c>
      <c r="F468" s="4">
        <f>CHOOSE( CONTROL!$C$32, 11.862, 11.8568) * CHOOSE(CONTROL!$C$15, $D$11, 100%, $F$11)</f>
        <v>11.862</v>
      </c>
      <c r="G468" s="8">
        <f>CHOOSE( CONTROL!$C$32, 10.5461, 10.541) * CHOOSE( CONTROL!$C$15, $D$11, 100%, $F$11)</f>
        <v>10.546099999999999</v>
      </c>
      <c r="H468" s="4">
        <f>CHOOSE( CONTROL!$C$32, 11.4865, 11.4814) * CHOOSE(CONTROL!$C$15, $D$11, 100%, $F$11)</f>
        <v>11.486499999999999</v>
      </c>
      <c r="I468" s="8">
        <f>CHOOSE( CONTROL!$C$32, 10.4382, 10.4332) * CHOOSE(CONTROL!$C$15, $D$11, 100%, $F$11)</f>
        <v>10.4382</v>
      </c>
      <c r="J468" s="4">
        <f>CHOOSE( CONTROL!$C$32, 10.3693, 10.3642) * CHOOSE(CONTROL!$C$15, $D$11, 100%, $F$11)</f>
        <v>10.369300000000001</v>
      </c>
      <c r="K468" s="4"/>
      <c r="L468" s="9">
        <v>29.520499999999998</v>
      </c>
      <c r="M468" s="9">
        <v>12.063700000000001</v>
      </c>
      <c r="N468" s="9">
        <v>4.9444999999999997</v>
      </c>
      <c r="O468" s="9">
        <v>0.37459999999999999</v>
      </c>
      <c r="P468" s="9">
        <v>1.2192000000000001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CONTROL!$C$32, 10.6, 10.5948) * CHOOSE(CONTROL!$C$15, $D$11, 100%, $F$11)</f>
        <v>10.6</v>
      </c>
      <c r="C469" s="8">
        <f>CHOOSE( CONTROL!$C$32, 10.6105, 10.6052) * CHOOSE(CONTROL!$C$15, $D$11, 100%, $F$11)</f>
        <v>10.6105</v>
      </c>
      <c r="D469" s="8">
        <f>CHOOSE( CONTROL!$C$32, 10.6215, 10.6163) * CHOOSE( CONTROL!$C$15, $D$11, 100%, $F$11)</f>
        <v>10.621499999999999</v>
      </c>
      <c r="E469" s="12">
        <f>CHOOSE( CONTROL!$C$32, 10.6159, 10.6107) * CHOOSE( CONTROL!$C$15, $D$11, 100%, $F$11)</f>
        <v>10.6159</v>
      </c>
      <c r="F469" s="4">
        <f>CHOOSE( CONTROL!$C$32, 11.6355, 11.6302) * CHOOSE(CONTROL!$C$15, $D$11, 100%, $F$11)</f>
        <v>11.6355</v>
      </c>
      <c r="G469" s="8">
        <f>CHOOSE( CONTROL!$C$32, 10.3255, 10.3204) * CHOOSE( CONTROL!$C$15, $D$11, 100%, $F$11)</f>
        <v>10.3255</v>
      </c>
      <c r="H469" s="4">
        <f>CHOOSE( CONTROL!$C$32, 11.2657, 11.2605) * CHOOSE(CONTROL!$C$15, $D$11, 100%, $F$11)</f>
        <v>11.265700000000001</v>
      </c>
      <c r="I469" s="8">
        <f>CHOOSE( CONTROL!$C$32, 10.2217, 10.2167) * CHOOSE(CONTROL!$C$15, $D$11, 100%, $F$11)</f>
        <v>10.2217</v>
      </c>
      <c r="J469" s="4">
        <f>CHOOSE( CONTROL!$C$32, 10.1522, 10.1471) * CHOOSE(CONTROL!$C$15, $D$11, 100%, $F$11)</f>
        <v>10.152200000000001</v>
      </c>
      <c r="K469" s="4"/>
      <c r="L469" s="9">
        <v>28.568200000000001</v>
      </c>
      <c r="M469" s="9">
        <v>11.6745</v>
      </c>
      <c r="N469" s="9">
        <v>4.7850000000000001</v>
      </c>
      <c r="O469" s="9">
        <v>0.36249999999999999</v>
      </c>
      <c r="P469" s="9">
        <v>1.1798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11.0652 * CHOOSE(CONTROL!$C$15, $D$11, 100%, $F$11)</f>
        <v>11.065200000000001</v>
      </c>
      <c r="C470" s="8">
        <f>11.0756 * CHOOSE(CONTROL!$C$15, $D$11, 100%, $F$11)</f>
        <v>11.0756</v>
      </c>
      <c r="D470" s="8">
        <f>11.088 * CHOOSE( CONTROL!$C$15, $D$11, 100%, $F$11)</f>
        <v>11.087999999999999</v>
      </c>
      <c r="E470" s="12">
        <f>11.0828 * CHOOSE( CONTROL!$C$15, $D$11, 100%, $F$11)</f>
        <v>11.082800000000001</v>
      </c>
      <c r="F470" s="4">
        <f>12.1006 * CHOOSE(CONTROL!$C$15, $D$11, 100%, $F$11)</f>
        <v>12.1006</v>
      </c>
      <c r="G470" s="8">
        <f>10.7783 * CHOOSE( CONTROL!$C$15, $D$11, 100%, $F$11)</f>
        <v>10.7783</v>
      </c>
      <c r="H470" s="4">
        <f>11.7191 * CHOOSE(CONTROL!$C$15, $D$11, 100%, $F$11)</f>
        <v>11.719099999999999</v>
      </c>
      <c r="I470" s="8">
        <f>10.6691 * CHOOSE(CONTROL!$C$15, $D$11, 100%, $F$11)</f>
        <v>10.6691</v>
      </c>
      <c r="J470" s="4">
        <f>10.5979 * CHOOSE(CONTROL!$C$15, $D$11, 100%, $F$11)</f>
        <v>10.597899999999999</v>
      </c>
      <c r="K470" s="4"/>
      <c r="L470" s="9">
        <v>28.921800000000001</v>
      </c>
      <c r="M470" s="9">
        <v>12.063700000000001</v>
      </c>
      <c r="N470" s="9">
        <v>4.9444999999999997</v>
      </c>
      <c r="O470" s="9">
        <v>0.37459999999999999</v>
      </c>
      <c r="P470" s="9">
        <v>1.2192000000000001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11.9335 * CHOOSE(CONTROL!$C$15, $D$11, 100%, $F$11)</f>
        <v>11.9335</v>
      </c>
      <c r="C471" s="8">
        <f>11.944 * CHOOSE(CONTROL!$C$15, $D$11, 100%, $F$11)</f>
        <v>11.944000000000001</v>
      </c>
      <c r="D471" s="8">
        <f>11.9277 * CHOOSE( CONTROL!$C$15, $D$11, 100%, $F$11)</f>
        <v>11.9277</v>
      </c>
      <c r="E471" s="12">
        <f>11.9325 * CHOOSE( CONTROL!$C$15, $D$11, 100%, $F$11)</f>
        <v>11.932499999999999</v>
      </c>
      <c r="F471" s="4">
        <f>12.9277 * CHOOSE(CONTROL!$C$15, $D$11, 100%, $F$11)</f>
        <v>12.9277</v>
      </c>
      <c r="G471" s="8">
        <f>11.6457 * CHOOSE( CONTROL!$C$15, $D$11, 100%, $F$11)</f>
        <v>11.6457</v>
      </c>
      <c r="H471" s="4">
        <f>12.5253 * CHOOSE(CONTROL!$C$15, $D$11, 100%, $F$11)</f>
        <v>12.5253</v>
      </c>
      <c r="I471" s="8">
        <f>11.5384 * CHOOSE(CONTROL!$C$15, $D$11, 100%, $F$11)</f>
        <v>11.538399999999999</v>
      </c>
      <c r="J471" s="4">
        <f>11.43 * CHOOSE(CONTROL!$C$15, $D$11, 100%, $F$11)</f>
        <v>11.43</v>
      </c>
      <c r="K471" s="4"/>
      <c r="L471" s="9">
        <v>26.515499999999999</v>
      </c>
      <c r="M471" s="9">
        <v>11.6745</v>
      </c>
      <c r="N471" s="9">
        <v>4.7850000000000001</v>
      </c>
      <c r="O471" s="9">
        <v>0.36249999999999999</v>
      </c>
      <c r="P471" s="9">
        <v>1.2522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11.9118 * CHOOSE(CONTROL!$C$15, $D$11, 100%, $F$11)</f>
        <v>11.911799999999999</v>
      </c>
      <c r="C472" s="8">
        <f>11.9223 * CHOOSE(CONTROL!$C$15, $D$11, 100%, $F$11)</f>
        <v>11.9223</v>
      </c>
      <c r="D472" s="8">
        <f>11.9083 * CHOOSE( CONTROL!$C$15, $D$11, 100%, $F$11)</f>
        <v>11.908300000000001</v>
      </c>
      <c r="E472" s="12">
        <f>11.9123 * CHOOSE( CONTROL!$C$15, $D$11, 100%, $F$11)</f>
        <v>11.9123</v>
      </c>
      <c r="F472" s="4">
        <f>12.906 * CHOOSE(CONTROL!$C$15, $D$11, 100%, $F$11)</f>
        <v>12.906000000000001</v>
      </c>
      <c r="G472" s="8">
        <f>11.6263 * CHOOSE( CONTROL!$C$15, $D$11, 100%, $F$11)</f>
        <v>11.626300000000001</v>
      </c>
      <c r="H472" s="4">
        <f>12.5042 * CHOOSE(CONTROL!$C$15, $D$11, 100%, $F$11)</f>
        <v>12.504200000000001</v>
      </c>
      <c r="I472" s="8">
        <f>11.5252 * CHOOSE(CONTROL!$C$15, $D$11, 100%, $F$11)</f>
        <v>11.5252</v>
      </c>
      <c r="J472" s="4">
        <f>11.4092 * CHOOSE(CONTROL!$C$15, $D$11, 100%, $F$11)</f>
        <v>11.4092</v>
      </c>
      <c r="K472" s="4"/>
      <c r="L472" s="9">
        <v>27.3993</v>
      </c>
      <c r="M472" s="9">
        <v>12.063700000000001</v>
      </c>
      <c r="N472" s="9">
        <v>4.9444999999999997</v>
      </c>
      <c r="O472" s="9">
        <v>0.37459999999999999</v>
      </c>
      <c r="P472" s="9">
        <v>1.2939000000000001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12.3669 * CHOOSE(CONTROL!$C$15, $D$11, 100%, $F$11)</f>
        <v>12.366899999999999</v>
      </c>
      <c r="C473" s="8">
        <f>12.3773 * CHOOSE(CONTROL!$C$15, $D$11, 100%, $F$11)</f>
        <v>12.3773</v>
      </c>
      <c r="D473" s="8">
        <f>12.3767 * CHOOSE( CONTROL!$C$15, $D$11, 100%, $F$11)</f>
        <v>12.3767</v>
      </c>
      <c r="E473" s="12">
        <f>12.3758 * CHOOSE( CONTROL!$C$15, $D$11, 100%, $F$11)</f>
        <v>12.3758</v>
      </c>
      <c r="F473" s="4">
        <f>13.3898 * CHOOSE(CONTROL!$C$15, $D$11, 100%, $F$11)</f>
        <v>13.389799999999999</v>
      </c>
      <c r="G473" s="8">
        <f>12.0835 * CHOOSE( CONTROL!$C$15, $D$11, 100%, $F$11)</f>
        <v>12.083500000000001</v>
      </c>
      <c r="H473" s="4">
        <f>12.9758 * CHOOSE(CONTROL!$C$15, $D$11, 100%, $F$11)</f>
        <v>12.9758</v>
      </c>
      <c r="I473" s="8">
        <f>11.9597 * CHOOSE(CONTROL!$C$15, $D$11, 100%, $F$11)</f>
        <v>11.9597</v>
      </c>
      <c r="J473" s="4">
        <f>11.8452 * CHOOSE(CONTROL!$C$15, $D$11, 100%, $F$11)</f>
        <v>11.8452</v>
      </c>
      <c r="K473" s="4"/>
      <c r="L473" s="9">
        <v>27.3993</v>
      </c>
      <c r="M473" s="9">
        <v>12.063700000000001</v>
      </c>
      <c r="N473" s="9">
        <v>4.9444999999999997</v>
      </c>
      <c r="O473" s="9">
        <v>0.37459999999999999</v>
      </c>
      <c r="P473" s="9">
        <v>1.2939000000000001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11.5677 * CHOOSE(CONTROL!$C$15, $D$11, 100%, $F$11)</f>
        <v>11.5677</v>
      </c>
      <c r="C474" s="8">
        <f>11.5782 * CHOOSE(CONTROL!$C$15, $D$11, 100%, $F$11)</f>
        <v>11.578200000000001</v>
      </c>
      <c r="D474" s="8">
        <f>11.5797 * CHOOSE( CONTROL!$C$15, $D$11, 100%, $F$11)</f>
        <v>11.579700000000001</v>
      </c>
      <c r="E474" s="12">
        <f>11.578 * CHOOSE( CONTROL!$C$15, $D$11, 100%, $F$11)</f>
        <v>11.577999999999999</v>
      </c>
      <c r="F474" s="4">
        <f>12.5828 * CHOOSE(CONTROL!$C$15, $D$11, 100%, $F$11)</f>
        <v>12.582800000000001</v>
      </c>
      <c r="G474" s="8">
        <f>11.3042 * CHOOSE( CONTROL!$C$15, $D$11, 100%, $F$11)</f>
        <v>11.3042</v>
      </c>
      <c r="H474" s="4">
        <f>12.1891 * CHOOSE(CONTROL!$C$15, $D$11, 100%, $F$11)</f>
        <v>12.1891</v>
      </c>
      <c r="I474" s="8">
        <f>11.1826 * CHOOSE(CONTROL!$C$15, $D$11, 100%, $F$11)</f>
        <v>11.182600000000001</v>
      </c>
      <c r="J474" s="4">
        <f>11.0794 * CHOOSE(CONTROL!$C$15, $D$11, 100%, $F$11)</f>
        <v>11.0794</v>
      </c>
      <c r="K474" s="4"/>
      <c r="L474" s="9">
        <v>24.747800000000002</v>
      </c>
      <c r="M474" s="9">
        <v>10.8962</v>
      </c>
      <c r="N474" s="9">
        <v>4.4660000000000002</v>
      </c>
      <c r="O474" s="9">
        <v>0.33829999999999999</v>
      </c>
      <c r="P474" s="9">
        <v>1.1687000000000001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11.3216 * CHOOSE(CONTROL!$C$15, $D$11, 100%, $F$11)</f>
        <v>11.3216</v>
      </c>
      <c r="C475" s="8">
        <f>11.332 * CHOOSE(CONTROL!$C$15, $D$11, 100%, $F$11)</f>
        <v>11.332000000000001</v>
      </c>
      <c r="D475" s="8">
        <f>11.313 * CHOOSE( CONTROL!$C$15, $D$11, 100%, $F$11)</f>
        <v>11.313000000000001</v>
      </c>
      <c r="E475" s="12">
        <f>11.3188 * CHOOSE( CONTROL!$C$15, $D$11, 100%, $F$11)</f>
        <v>11.3188</v>
      </c>
      <c r="F475" s="4">
        <f>12.3205 * CHOOSE(CONTROL!$C$15, $D$11, 100%, $F$11)</f>
        <v>12.320499999999999</v>
      </c>
      <c r="G475" s="8">
        <f>11.0436 * CHOOSE( CONTROL!$C$15, $D$11, 100%, $F$11)</f>
        <v>11.0436</v>
      </c>
      <c r="H475" s="4">
        <f>11.9334 * CHOOSE(CONTROL!$C$15, $D$11, 100%, $F$11)</f>
        <v>11.933400000000001</v>
      </c>
      <c r="I475" s="8">
        <f>10.9072 * CHOOSE(CONTROL!$C$15, $D$11, 100%, $F$11)</f>
        <v>10.9072</v>
      </c>
      <c r="J475" s="4">
        <f>10.8436 * CHOOSE(CONTROL!$C$15, $D$11, 100%, $F$11)</f>
        <v>10.8436</v>
      </c>
      <c r="K475" s="4"/>
      <c r="L475" s="9">
        <v>27.3993</v>
      </c>
      <c r="M475" s="9">
        <v>12.063700000000001</v>
      </c>
      <c r="N475" s="9">
        <v>4.9444999999999997</v>
      </c>
      <c r="O475" s="9">
        <v>0.37459999999999999</v>
      </c>
      <c r="P475" s="9">
        <v>1.2939000000000001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11.4936 * CHOOSE(CONTROL!$C$15, $D$11, 100%, $F$11)</f>
        <v>11.493600000000001</v>
      </c>
      <c r="C476" s="8">
        <f>11.504 * CHOOSE(CONTROL!$C$15, $D$11, 100%, $F$11)</f>
        <v>11.504</v>
      </c>
      <c r="D476" s="8">
        <f>11.508 * CHOOSE( CONTROL!$C$15, $D$11, 100%, $F$11)</f>
        <v>11.507999999999999</v>
      </c>
      <c r="E476" s="12">
        <f>11.5055 * CHOOSE( CONTROL!$C$15, $D$11, 100%, $F$11)</f>
        <v>11.5055</v>
      </c>
      <c r="F476" s="4">
        <f>12.5008 * CHOOSE(CONTROL!$C$15, $D$11, 100%, $F$11)</f>
        <v>12.5008</v>
      </c>
      <c r="G476" s="8">
        <f>11.1996 * CHOOSE( CONTROL!$C$15, $D$11, 100%, $F$11)</f>
        <v>11.1996</v>
      </c>
      <c r="H476" s="4">
        <f>12.1092 * CHOOSE(CONTROL!$C$15, $D$11, 100%, $F$11)</f>
        <v>12.1092</v>
      </c>
      <c r="I476" s="8">
        <f>11.0621 * CHOOSE(CONTROL!$C$15, $D$11, 100%, $F$11)</f>
        <v>11.062099999999999</v>
      </c>
      <c r="J476" s="4">
        <f>11.0084 * CHOOSE(CONTROL!$C$15, $D$11, 100%, $F$11)</f>
        <v>11.0084</v>
      </c>
      <c r="K476" s="4"/>
      <c r="L476" s="9">
        <v>27.988800000000001</v>
      </c>
      <c r="M476" s="9">
        <v>11.6745</v>
      </c>
      <c r="N476" s="9">
        <v>4.7850000000000001</v>
      </c>
      <c r="O476" s="9">
        <v>0.36249999999999999</v>
      </c>
      <c r="P476" s="9">
        <v>1.1798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CONTROL!$C$32, 11.805, 11.7997) * CHOOSE(CONTROL!$C$15, $D$11, 100%, $F$11)</f>
        <v>11.805</v>
      </c>
      <c r="C477" s="8">
        <f>CHOOSE( CONTROL!$C$32, 11.8154, 11.8101) * CHOOSE(CONTROL!$C$15, $D$11, 100%, $F$11)</f>
        <v>11.8154</v>
      </c>
      <c r="D477" s="8">
        <f>CHOOSE( CONTROL!$C$32, 11.8282, 11.823) * CHOOSE( CONTROL!$C$15, $D$11, 100%, $F$11)</f>
        <v>11.828200000000001</v>
      </c>
      <c r="E477" s="12">
        <f>CHOOSE( CONTROL!$C$32, 11.822, 11.8167) * CHOOSE( CONTROL!$C$15, $D$11, 100%, $F$11)</f>
        <v>11.821999999999999</v>
      </c>
      <c r="F477" s="4">
        <f>CHOOSE( CONTROL!$C$32, 12.8279, 12.8226) * CHOOSE(CONTROL!$C$15, $D$11, 100%, $F$11)</f>
        <v>12.8279</v>
      </c>
      <c r="G477" s="8">
        <f>CHOOSE( CONTROL!$C$32, 11.5087, 11.5036) * CHOOSE( CONTROL!$C$15, $D$11, 100%, $F$11)</f>
        <v>11.508699999999999</v>
      </c>
      <c r="H477" s="4">
        <f>CHOOSE( CONTROL!$C$32, 12.428, 12.4229) * CHOOSE(CONTROL!$C$15, $D$11, 100%, $F$11)</f>
        <v>12.428000000000001</v>
      </c>
      <c r="I477" s="8">
        <f>CHOOSE( CONTROL!$C$32, 11.366, 11.3609) * CHOOSE(CONTROL!$C$15, $D$11, 100%, $F$11)</f>
        <v>11.366</v>
      </c>
      <c r="J477" s="4">
        <f>CHOOSE( CONTROL!$C$32, 11.3068, 11.3017) * CHOOSE(CONTROL!$C$15, $D$11, 100%, $F$11)</f>
        <v>11.306800000000001</v>
      </c>
      <c r="K477" s="4"/>
      <c r="L477" s="9">
        <v>29.520499999999998</v>
      </c>
      <c r="M477" s="9">
        <v>12.063700000000001</v>
      </c>
      <c r="N477" s="9">
        <v>4.9444999999999997</v>
      </c>
      <c r="O477" s="9">
        <v>0.37459999999999999</v>
      </c>
      <c r="P477" s="9">
        <v>1.2192000000000001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CONTROL!$C$32, 11.6153, 11.6101) * CHOOSE(CONTROL!$C$15, $D$11, 100%, $F$11)</f>
        <v>11.6153</v>
      </c>
      <c r="C478" s="8">
        <f>CHOOSE( CONTROL!$C$32, 11.6258, 11.6205) * CHOOSE(CONTROL!$C$15, $D$11, 100%, $F$11)</f>
        <v>11.6258</v>
      </c>
      <c r="D478" s="8">
        <f>CHOOSE( CONTROL!$C$32, 11.6462, 11.6409) * CHOOSE( CONTROL!$C$15, $D$11, 100%, $F$11)</f>
        <v>11.6462</v>
      </c>
      <c r="E478" s="12">
        <f>CHOOSE( CONTROL!$C$32, 11.6372, 11.6319) * CHOOSE( CONTROL!$C$15, $D$11, 100%, $F$11)</f>
        <v>11.6372</v>
      </c>
      <c r="F478" s="4">
        <f>CHOOSE( CONTROL!$C$32, 12.6508, 12.6455) * CHOOSE(CONTROL!$C$15, $D$11, 100%, $F$11)</f>
        <v>12.6508</v>
      </c>
      <c r="G478" s="8">
        <f>CHOOSE( CONTROL!$C$32, 11.3277, 11.3226) * CHOOSE( CONTROL!$C$15, $D$11, 100%, $F$11)</f>
        <v>11.3277</v>
      </c>
      <c r="H478" s="4">
        <f>CHOOSE( CONTROL!$C$32, 12.2554, 12.2502) * CHOOSE(CONTROL!$C$15, $D$11, 100%, $F$11)</f>
        <v>12.2554</v>
      </c>
      <c r="I478" s="8">
        <f>CHOOSE( CONTROL!$C$32, 11.1894, 11.1843) * CHOOSE(CONTROL!$C$15, $D$11, 100%, $F$11)</f>
        <v>11.189399999999999</v>
      </c>
      <c r="J478" s="4">
        <f>CHOOSE( CONTROL!$C$32, 11.1251, 11.12) * CHOOSE(CONTROL!$C$15, $D$11, 100%, $F$11)</f>
        <v>11.1251</v>
      </c>
      <c r="K478" s="4"/>
      <c r="L478" s="9">
        <v>28.568200000000001</v>
      </c>
      <c r="M478" s="9">
        <v>11.6745</v>
      </c>
      <c r="N478" s="9">
        <v>4.7850000000000001</v>
      </c>
      <c r="O478" s="9">
        <v>0.36249999999999999</v>
      </c>
      <c r="P478" s="9">
        <v>1.1798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CONTROL!$C$32, 12.1147, 12.1094) * CHOOSE(CONTROL!$C$15, $D$11, 100%, $F$11)</f>
        <v>12.114699999999999</v>
      </c>
      <c r="C479" s="8">
        <f>CHOOSE( CONTROL!$C$32, 12.1251, 12.1199) * CHOOSE(CONTROL!$C$15, $D$11, 100%, $F$11)</f>
        <v>12.1251</v>
      </c>
      <c r="D479" s="8">
        <f>CHOOSE( CONTROL!$C$32, 12.1357, 12.1305) * CHOOSE( CONTROL!$C$15, $D$11, 100%, $F$11)</f>
        <v>12.1357</v>
      </c>
      <c r="E479" s="12">
        <f>CHOOSE( CONTROL!$C$32, 12.1303, 12.1251) * CHOOSE( CONTROL!$C$15, $D$11, 100%, $F$11)</f>
        <v>12.1303</v>
      </c>
      <c r="F479" s="4">
        <f>CHOOSE( CONTROL!$C$32, 13.1501, 13.1449) * CHOOSE(CONTROL!$C$15, $D$11, 100%, $F$11)</f>
        <v>13.1501</v>
      </c>
      <c r="G479" s="8">
        <f>CHOOSE( CONTROL!$C$32, 11.8013, 11.7961) * CHOOSE( CONTROL!$C$15, $D$11, 100%, $F$11)</f>
        <v>11.801299999999999</v>
      </c>
      <c r="H479" s="4">
        <f>CHOOSE( CONTROL!$C$32, 12.7421, 12.737) * CHOOSE(CONTROL!$C$15, $D$11, 100%, $F$11)</f>
        <v>12.742100000000001</v>
      </c>
      <c r="I479" s="8">
        <f>CHOOSE( CONTROL!$C$32, 11.6715, 11.6665) * CHOOSE(CONTROL!$C$15, $D$11, 100%, $F$11)</f>
        <v>11.6715</v>
      </c>
      <c r="J479" s="4">
        <f>CHOOSE( CONTROL!$C$32, 11.6036, 11.5985) * CHOOSE(CONTROL!$C$15, $D$11, 100%, $F$11)</f>
        <v>11.6036</v>
      </c>
      <c r="K479" s="4"/>
      <c r="L479" s="9">
        <v>29.520499999999998</v>
      </c>
      <c r="M479" s="9">
        <v>12.063700000000001</v>
      </c>
      <c r="N479" s="9">
        <v>4.9444999999999997</v>
      </c>
      <c r="O479" s="9">
        <v>0.37459999999999999</v>
      </c>
      <c r="P479" s="9">
        <v>1.2192000000000001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CONTROL!$C$32, 11.1803, 11.1751) * CHOOSE(CONTROL!$C$15, $D$11, 100%, $F$11)</f>
        <v>11.180300000000001</v>
      </c>
      <c r="C480" s="8">
        <f>CHOOSE( CONTROL!$C$32, 11.1908, 11.1855) * CHOOSE(CONTROL!$C$15, $D$11, 100%, $F$11)</f>
        <v>11.190799999999999</v>
      </c>
      <c r="D480" s="8">
        <f>CHOOSE( CONTROL!$C$32, 11.2017, 11.1964) * CHOOSE( CONTROL!$C$15, $D$11, 100%, $F$11)</f>
        <v>11.201700000000001</v>
      </c>
      <c r="E480" s="12">
        <f>CHOOSE( CONTROL!$C$32, 11.1961, 11.1909) * CHOOSE( CONTROL!$C$15, $D$11, 100%, $F$11)</f>
        <v>11.196099999999999</v>
      </c>
      <c r="F480" s="4">
        <f>CHOOSE( CONTROL!$C$32, 12.2158, 12.2105) * CHOOSE(CONTROL!$C$15, $D$11, 100%, $F$11)</f>
        <v>12.2158</v>
      </c>
      <c r="G480" s="8">
        <f>CHOOSE( CONTROL!$C$32, 10.891, 10.8858) * CHOOSE( CONTROL!$C$15, $D$11, 100%, $F$11)</f>
        <v>10.891</v>
      </c>
      <c r="H480" s="4">
        <f>CHOOSE( CONTROL!$C$32, 11.8313, 11.8262) * CHOOSE(CONTROL!$C$15, $D$11, 100%, $F$11)</f>
        <v>11.831300000000001</v>
      </c>
      <c r="I480" s="8">
        <f>CHOOSE( CONTROL!$C$32, 10.7774, 10.7723) * CHOOSE(CONTROL!$C$15, $D$11, 100%, $F$11)</f>
        <v>10.7774</v>
      </c>
      <c r="J480" s="4">
        <f>CHOOSE( CONTROL!$C$32, 10.7082, 10.7032) * CHOOSE(CONTROL!$C$15, $D$11, 100%, $F$11)</f>
        <v>10.7082</v>
      </c>
      <c r="K480" s="4"/>
      <c r="L480" s="9">
        <v>29.520499999999998</v>
      </c>
      <c r="M480" s="9">
        <v>12.063700000000001</v>
      </c>
      <c r="N480" s="9">
        <v>4.9444999999999997</v>
      </c>
      <c r="O480" s="9">
        <v>0.37459999999999999</v>
      </c>
      <c r="P480" s="9">
        <v>1.2192000000000001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CONTROL!$C$32, 10.9463, 10.9411) * CHOOSE(CONTROL!$C$15, $D$11, 100%, $F$11)</f>
        <v>10.946300000000001</v>
      </c>
      <c r="C481" s="8">
        <f>CHOOSE( CONTROL!$C$32, 10.9568, 10.9515) * CHOOSE(CONTROL!$C$15, $D$11, 100%, $F$11)</f>
        <v>10.956799999999999</v>
      </c>
      <c r="D481" s="8">
        <f>CHOOSE( CONTROL!$C$32, 10.9679, 10.9626) * CHOOSE( CONTROL!$C$15, $D$11, 100%, $F$11)</f>
        <v>10.9679</v>
      </c>
      <c r="E481" s="12">
        <f>CHOOSE( CONTROL!$C$32, 10.9623, 10.957) * CHOOSE( CONTROL!$C$15, $D$11, 100%, $F$11)</f>
        <v>10.962300000000001</v>
      </c>
      <c r="F481" s="4">
        <f>CHOOSE( CONTROL!$C$32, 11.9818, 11.9765) * CHOOSE(CONTROL!$C$15, $D$11, 100%, $F$11)</f>
        <v>11.9818</v>
      </c>
      <c r="G481" s="8">
        <f>CHOOSE( CONTROL!$C$32, 10.6631, 10.658) * CHOOSE( CONTROL!$C$15, $D$11, 100%, $F$11)</f>
        <v>10.6631</v>
      </c>
      <c r="H481" s="4">
        <f>CHOOSE( CONTROL!$C$32, 11.6032, 11.5981) * CHOOSE(CONTROL!$C$15, $D$11, 100%, $F$11)</f>
        <v>11.603199999999999</v>
      </c>
      <c r="I481" s="8">
        <f>CHOOSE( CONTROL!$C$32, 10.5537, 10.5487) * CHOOSE(CONTROL!$C$15, $D$11, 100%, $F$11)</f>
        <v>10.553699999999999</v>
      </c>
      <c r="J481" s="4">
        <f>CHOOSE( CONTROL!$C$32, 10.484, 10.479) * CHOOSE(CONTROL!$C$15, $D$11, 100%, $F$11)</f>
        <v>10.484</v>
      </c>
      <c r="K481" s="4"/>
      <c r="L481" s="9">
        <v>28.568200000000001</v>
      </c>
      <c r="M481" s="9">
        <v>11.6745</v>
      </c>
      <c r="N481" s="9">
        <v>4.7850000000000001</v>
      </c>
      <c r="O481" s="9">
        <v>0.36249999999999999</v>
      </c>
      <c r="P481" s="9">
        <v>1.1798</v>
      </c>
      <c r="Q481" s="9">
        <v>19.1754</v>
      </c>
      <c r="R481" s="9"/>
      <c r="S481" s="11"/>
    </row>
    <row r="482" spans="1:19" ht="15.75">
      <c r="A482" s="13">
        <v>56553</v>
      </c>
      <c r="B482" s="8">
        <f>11.4269 * CHOOSE(CONTROL!$C$15, $D$11, 100%, $F$11)</f>
        <v>11.4269</v>
      </c>
      <c r="C482" s="8">
        <f>11.4373 * CHOOSE(CONTROL!$C$15, $D$11, 100%, $F$11)</f>
        <v>11.4373</v>
      </c>
      <c r="D482" s="8">
        <f>11.4497 * CHOOSE( CONTROL!$C$15, $D$11, 100%, $F$11)</f>
        <v>11.4497</v>
      </c>
      <c r="E482" s="12">
        <f>11.4445 * CHOOSE( CONTROL!$C$15, $D$11, 100%, $F$11)</f>
        <v>11.4445</v>
      </c>
      <c r="F482" s="4">
        <f>12.4623 * CHOOSE(CONTROL!$C$15, $D$11, 100%, $F$11)</f>
        <v>12.462300000000001</v>
      </c>
      <c r="G482" s="8">
        <f>11.1309 * CHOOSE( CONTROL!$C$15, $D$11, 100%, $F$11)</f>
        <v>11.1309</v>
      </c>
      <c r="H482" s="4">
        <f>12.0717 * CHOOSE(CONTROL!$C$15, $D$11, 100%, $F$11)</f>
        <v>12.0717</v>
      </c>
      <c r="I482" s="8">
        <f>11.0159 * CHOOSE(CONTROL!$C$15, $D$11, 100%, $F$11)</f>
        <v>11.0159</v>
      </c>
      <c r="J482" s="4">
        <f>10.9445 * CHOOSE(CONTROL!$C$15, $D$11, 100%, $F$11)</f>
        <v>10.9445</v>
      </c>
      <c r="K482" s="4"/>
      <c r="L482" s="9">
        <v>28.921800000000001</v>
      </c>
      <c r="M482" s="9">
        <v>12.063700000000001</v>
      </c>
      <c r="N482" s="9">
        <v>4.9444999999999997</v>
      </c>
      <c r="O482" s="9">
        <v>0.37459999999999999</v>
      </c>
      <c r="P482" s="9">
        <v>1.2192000000000001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12.3236 * CHOOSE(CONTROL!$C$15, $D$11, 100%, $F$11)</f>
        <v>12.323600000000001</v>
      </c>
      <c r="C483" s="8">
        <f>12.3341 * CHOOSE(CONTROL!$C$15, $D$11, 100%, $F$11)</f>
        <v>12.334099999999999</v>
      </c>
      <c r="D483" s="8">
        <f>12.3178 * CHOOSE( CONTROL!$C$15, $D$11, 100%, $F$11)</f>
        <v>12.3178</v>
      </c>
      <c r="E483" s="12">
        <f>12.3226 * CHOOSE( CONTROL!$C$15, $D$11, 100%, $F$11)</f>
        <v>12.3226</v>
      </c>
      <c r="F483" s="4">
        <f>13.3178 * CHOOSE(CONTROL!$C$15, $D$11, 100%, $F$11)</f>
        <v>13.3178</v>
      </c>
      <c r="G483" s="8">
        <f>12.026 * CHOOSE( CONTROL!$C$15, $D$11, 100%, $F$11)</f>
        <v>12.026</v>
      </c>
      <c r="H483" s="4">
        <f>12.9056 * CHOOSE(CONTROL!$C$15, $D$11, 100%, $F$11)</f>
        <v>12.9056</v>
      </c>
      <c r="I483" s="8">
        <f>11.9124 * CHOOSE(CONTROL!$C$15, $D$11, 100%, $F$11)</f>
        <v>11.9124</v>
      </c>
      <c r="J483" s="4">
        <f>11.8038 * CHOOSE(CONTROL!$C$15, $D$11, 100%, $F$11)</f>
        <v>11.803800000000001</v>
      </c>
      <c r="K483" s="4"/>
      <c r="L483" s="9">
        <v>26.515499999999999</v>
      </c>
      <c r="M483" s="9">
        <v>11.6745</v>
      </c>
      <c r="N483" s="9">
        <v>4.7850000000000001</v>
      </c>
      <c r="O483" s="9">
        <v>0.36249999999999999</v>
      </c>
      <c r="P483" s="9">
        <v>1.2522</v>
      </c>
      <c r="Q483" s="9">
        <v>19.1754</v>
      </c>
      <c r="R483" s="9"/>
      <c r="S483" s="11"/>
    </row>
    <row r="484" spans="1:19" ht="15.75">
      <c r="A484" s="13">
        <v>56614</v>
      </c>
      <c r="B484" s="8">
        <f>12.3012 * CHOOSE(CONTROL!$C$15, $D$11, 100%, $F$11)</f>
        <v>12.3012</v>
      </c>
      <c r="C484" s="8">
        <f>12.3117 * CHOOSE(CONTROL!$C$15, $D$11, 100%, $F$11)</f>
        <v>12.3117</v>
      </c>
      <c r="D484" s="8">
        <f>12.2977 * CHOOSE( CONTROL!$C$15, $D$11, 100%, $F$11)</f>
        <v>12.297700000000001</v>
      </c>
      <c r="E484" s="12">
        <f>12.3017 * CHOOSE( CONTROL!$C$15, $D$11, 100%, $F$11)</f>
        <v>12.3017</v>
      </c>
      <c r="F484" s="4">
        <f>13.2954 * CHOOSE(CONTROL!$C$15, $D$11, 100%, $F$11)</f>
        <v>13.295400000000001</v>
      </c>
      <c r="G484" s="8">
        <f>12.0059 * CHOOSE( CONTROL!$C$15, $D$11, 100%, $F$11)</f>
        <v>12.0059</v>
      </c>
      <c r="H484" s="4">
        <f>12.8838 * CHOOSE(CONTROL!$C$15, $D$11, 100%, $F$11)</f>
        <v>12.883800000000001</v>
      </c>
      <c r="I484" s="8">
        <f>11.8985 * CHOOSE(CONTROL!$C$15, $D$11, 100%, $F$11)</f>
        <v>11.8985</v>
      </c>
      <c r="J484" s="4">
        <f>11.7823 * CHOOSE(CONTROL!$C$15, $D$11, 100%, $F$11)</f>
        <v>11.782299999999999</v>
      </c>
      <c r="K484" s="4"/>
      <c r="L484" s="9">
        <v>27.3993</v>
      </c>
      <c r="M484" s="9">
        <v>12.063700000000001</v>
      </c>
      <c r="N484" s="9">
        <v>4.9444999999999997</v>
      </c>
      <c r="O484" s="9">
        <v>0.37459999999999999</v>
      </c>
      <c r="P484" s="9">
        <v>1.2939000000000001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12.7712 * CHOOSE(CONTROL!$C$15, $D$11, 100%, $F$11)</f>
        <v>12.7712</v>
      </c>
      <c r="C485" s="8">
        <f>12.7816 * CHOOSE(CONTROL!$C$15, $D$11, 100%, $F$11)</f>
        <v>12.781599999999999</v>
      </c>
      <c r="D485" s="8">
        <f>12.781 * CHOOSE( CONTROL!$C$15, $D$11, 100%, $F$11)</f>
        <v>12.781000000000001</v>
      </c>
      <c r="E485" s="12">
        <f>12.7801 * CHOOSE( CONTROL!$C$15, $D$11, 100%, $F$11)</f>
        <v>12.780099999999999</v>
      </c>
      <c r="F485" s="4">
        <f>13.7941 * CHOOSE(CONTROL!$C$15, $D$11, 100%, $F$11)</f>
        <v>13.7941</v>
      </c>
      <c r="G485" s="8">
        <f>12.4775 * CHOOSE( CONTROL!$C$15, $D$11, 100%, $F$11)</f>
        <v>12.477499999999999</v>
      </c>
      <c r="H485" s="4">
        <f>13.3698 * CHOOSE(CONTROL!$C$15, $D$11, 100%, $F$11)</f>
        <v>13.3698</v>
      </c>
      <c r="I485" s="8">
        <f>12.3473 * CHOOSE(CONTROL!$C$15, $D$11, 100%, $F$11)</f>
        <v>12.347300000000001</v>
      </c>
      <c r="J485" s="4">
        <f>12.2326 * CHOOSE(CONTROL!$C$15, $D$11, 100%, $F$11)</f>
        <v>12.2326</v>
      </c>
      <c r="K485" s="4"/>
      <c r="L485" s="9">
        <v>27.3993</v>
      </c>
      <c r="M485" s="9">
        <v>12.063700000000001</v>
      </c>
      <c r="N485" s="9">
        <v>4.9444999999999997</v>
      </c>
      <c r="O485" s="9">
        <v>0.37459999999999999</v>
      </c>
      <c r="P485" s="9">
        <v>1.2939000000000001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11.9459 * CHOOSE(CONTROL!$C$15, $D$11, 100%, $F$11)</f>
        <v>11.9459</v>
      </c>
      <c r="C486" s="8">
        <f>11.9563 * CHOOSE(CONTROL!$C$15, $D$11, 100%, $F$11)</f>
        <v>11.956300000000001</v>
      </c>
      <c r="D486" s="8">
        <f>11.9578 * CHOOSE( CONTROL!$C$15, $D$11, 100%, $F$11)</f>
        <v>11.957800000000001</v>
      </c>
      <c r="E486" s="12">
        <f>11.9561 * CHOOSE( CONTROL!$C$15, $D$11, 100%, $F$11)</f>
        <v>11.956099999999999</v>
      </c>
      <c r="F486" s="4">
        <f>12.961 * CHOOSE(CONTROL!$C$15, $D$11, 100%, $F$11)</f>
        <v>12.961</v>
      </c>
      <c r="G486" s="8">
        <f>11.6728 * CHOOSE( CONTROL!$C$15, $D$11, 100%, $F$11)</f>
        <v>11.672800000000001</v>
      </c>
      <c r="H486" s="4">
        <f>12.5577 * CHOOSE(CONTROL!$C$15, $D$11, 100%, $F$11)</f>
        <v>12.557700000000001</v>
      </c>
      <c r="I486" s="8">
        <f>11.5452 * CHOOSE(CONTROL!$C$15, $D$11, 100%, $F$11)</f>
        <v>11.545199999999999</v>
      </c>
      <c r="J486" s="4">
        <f>11.4418 * CHOOSE(CONTROL!$C$15, $D$11, 100%, $F$11)</f>
        <v>11.441800000000001</v>
      </c>
      <c r="K486" s="4"/>
      <c r="L486" s="9">
        <v>24.747800000000002</v>
      </c>
      <c r="M486" s="9">
        <v>10.8962</v>
      </c>
      <c r="N486" s="9">
        <v>4.4660000000000002</v>
      </c>
      <c r="O486" s="9">
        <v>0.33829999999999999</v>
      </c>
      <c r="P486" s="9">
        <v>1.1687000000000001</v>
      </c>
      <c r="Q486" s="9">
        <v>17.8399</v>
      </c>
      <c r="R486" s="9"/>
      <c r="S486" s="11"/>
    </row>
    <row r="487" spans="1:19" ht="15.75">
      <c r="A487" s="13">
        <v>56704</v>
      </c>
      <c r="B487" s="8">
        <f>11.6917 * CHOOSE(CONTROL!$C$15, $D$11, 100%, $F$11)</f>
        <v>11.691700000000001</v>
      </c>
      <c r="C487" s="8">
        <f>11.7021 * CHOOSE(CONTROL!$C$15, $D$11, 100%, $F$11)</f>
        <v>11.7021</v>
      </c>
      <c r="D487" s="8">
        <f>11.6831 * CHOOSE( CONTROL!$C$15, $D$11, 100%, $F$11)</f>
        <v>11.6831</v>
      </c>
      <c r="E487" s="12">
        <f>11.6889 * CHOOSE( CONTROL!$C$15, $D$11, 100%, $F$11)</f>
        <v>11.6889</v>
      </c>
      <c r="F487" s="4">
        <f>12.6906 * CHOOSE(CONTROL!$C$15, $D$11, 100%, $F$11)</f>
        <v>12.6906</v>
      </c>
      <c r="G487" s="8">
        <f>11.4043 * CHOOSE( CONTROL!$C$15, $D$11, 100%, $F$11)</f>
        <v>11.404299999999999</v>
      </c>
      <c r="H487" s="4">
        <f>12.2942 * CHOOSE(CONTROL!$C$15, $D$11, 100%, $F$11)</f>
        <v>12.2942</v>
      </c>
      <c r="I487" s="8">
        <f>11.262 * CHOOSE(CONTROL!$C$15, $D$11, 100%, $F$11)</f>
        <v>11.262</v>
      </c>
      <c r="J487" s="4">
        <f>11.1982 * CHOOSE(CONTROL!$C$15, $D$11, 100%, $F$11)</f>
        <v>11.1982</v>
      </c>
      <c r="K487" s="4"/>
      <c r="L487" s="9">
        <v>27.3993</v>
      </c>
      <c r="M487" s="9">
        <v>12.063700000000001</v>
      </c>
      <c r="N487" s="9">
        <v>4.9444999999999997</v>
      </c>
      <c r="O487" s="9">
        <v>0.37459999999999999</v>
      </c>
      <c r="P487" s="9">
        <v>1.2939000000000001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11.8693 * CHOOSE(CONTROL!$C$15, $D$11, 100%, $F$11)</f>
        <v>11.869300000000001</v>
      </c>
      <c r="C488" s="8">
        <f>11.8797 * CHOOSE(CONTROL!$C$15, $D$11, 100%, $F$11)</f>
        <v>11.8797</v>
      </c>
      <c r="D488" s="8">
        <f>11.8838 * CHOOSE( CONTROL!$C$15, $D$11, 100%, $F$11)</f>
        <v>11.883800000000001</v>
      </c>
      <c r="E488" s="12">
        <f>11.8813 * CHOOSE( CONTROL!$C$15, $D$11, 100%, $F$11)</f>
        <v>11.8813</v>
      </c>
      <c r="F488" s="4">
        <f>12.8766 * CHOOSE(CONTROL!$C$15, $D$11, 100%, $F$11)</f>
        <v>12.8766</v>
      </c>
      <c r="G488" s="8">
        <f>11.5658 * CHOOSE( CONTROL!$C$15, $D$11, 100%, $F$11)</f>
        <v>11.565799999999999</v>
      </c>
      <c r="H488" s="4">
        <f>12.4755 * CHOOSE(CONTROL!$C$15, $D$11, 100%, $F$11)</f>
        <v>12.4755</v>
      </c>
      <c r="I488" s="8">
        <f>11.4223 * CHOOSE(CONTROL!$C$15, $D$11, 100%, $F$11)</f>
        <v>11.4223</v>
      </c>
      <c r="J488" s="4">
        <f>11.3684 * CHOOSE(CONTROL!$C$15, $D$11, 100%, $F$11)</f>
        <v>11.368399999999999</v>
      </c>
      <c r="K488" s="4"/>
      <c r="L488" s="9">
        <v>27.988800000000001</v>
      </c>
      <c r="M488" s="9">
        <v>11.6745</v>
      </c>
      <c r="N488" s="9">
        <v>4.7850000000000001</v>
      </c>
      <c r="O488" s="9">
        <v>0.36249999999999999</v>
      </c>
      <c r="P488" s="9">
        <v>1.1798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CONTROL!$C$32, 12.1907, 12.1854) * CHOOSE(CONTROL!$C$15, $D$11, 100%, $F$11)</f>
        <v>12.1907</v>
      </c>
      <c r="C489" s="8">
        <f>CHOOSE( CONTROL!$C$32, 12.2011, 12.1959) * CHOOSE(CONTROL!$C$15, $D$11, 100%, $F$11)</f>
        <v>12.2011</v>
      </c>
      <c r="D489" s="8">
        <f>CHOOSE( CONTROL!$C$32, 12.214, 12.2087) * CHOOSE( CONTROL!$C$15, $D$11, 100%, $F$11)</f>
        <v>12.214</v>
      </c>
      <c r="E489" s="12">
        <f>CHOOSE( CONTROL!$C$32, 12.2077, 12.2025) * CHOOSE( CONTROL!$C$15, $D$11, 100%, $F$11)</f>
        <v>12.207700000000001</v>
      </c>
      <c r="F489" s="4">
        <f>CHOOSE( CONTROL!$C$32, 13.2136, 13.2083) * CHOOSE(CONTROL!$C$15, $D$11, 100%, $F$11)</f>
        <v>13.2136</v>
      </c>
      <c r="G489" s="8">
        <f>CHOOSE( CONTROL!$C$32, 11.8847, 11.8796) * CHOOSE( CONTROL!$C$15, $D$11, 100%, $F$11)</f>
        <v>11.8847</v>
      </c>
      <c r="H489" s="4">
        <f>CHOOSE( CONTROL!$C$32, 12.804, 12.7989) * CHOOSE(CONTROL!$C$15, $D$11, 100%, $F$11)</f>
        <v>12.804</v>
      </c>
      <c r="I489" s="8">
        <f>CHOOSE( CONTROL!$C$32, 11.7358, 11.7307) * CHOOSE(CONTROL!$C$15, $D$11, 100%, $F$11)</f>
        <v>11.735799999999999</v>
      </c>
      <c r="J489" s="4">
        <f>CHOOSE( CONTROL!$C$32, 11.6764, 11.6713) * CHOOSE(CONTROL!$C$15, $D$11, 100%, $F$11)</f>
        <v>11.676399999999999</v>
      </c>
      <c r="K489" s="4"/>
      <c r="L489" s="9">
        <v>29.520499999999998</v>
      </c>
      <c r="M489" s="9">
        <v>12.063700000000001</v>
      </c>
      <c r="N489" s="9">
        <v>4.9444999999999997</v>
      </c>
      <c r="O489" s="9">
        <v>0.37459999999999999</v>
      </c>
      <c r="P489" s="9">
        <v>1.2192000000000001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CONTROL!$C$32, 11.9949, 11.9896) * CHOOSE(CONTROL!$C$15, $D$11, 100%, $F$11)</f>
        <v>11.994899999999999</v>
      </c>
      <c r="C490" s="8">
        <f>CHOOSE( CONTROL!$C$32, 12.0053, 12) * CHOOSE(CONTROL!$C$15, $D$11, 100%, $F$11)</f>
        <v>12.0053</v>
      </c>
      <c r="D490" s="8">
        <f>CHOOSE( CONTROL!$C$32, 12.0257, 12.0205) * CHOOSE( CONTROL!$C$15, $D$11, 100%, $F$11)</f>
        <v>12.025700000000001</v>
      </c>
      <c r="E490" s="12">
        <f>CHOOSE( CONTROL!$C$32, 12.0167, 12.0115) * CHOOSE( CONTROL!$C$15, $D$11, 100%, $F$11)</f>
        <v>12.0167</v>
      </c>
      <c r="F490" s="4">
        <f>CHOOSE( CONTROL!$C$32, 13.0303, 13.025) * CHOOSE(CONTROL!$C$15, $D$11, 100%, $F$11)</f>
        <v>13.0303</v>
      </c>
      <c r="G490" s="8">
        <f>CHOOSE( CONTROL!$C$32, 11.6977, 11.6926) * CHOOSE( CONTROL!$C$15, $D$11, 100%, $F$11)</f>
        <v>11.697699999999999</v>
      </c>
      <c r="H490" s="4">
        <f>CHOOSE( CONTROL!$C$32, 12.6253, 12.6202) * CHOOSE(CONTROL!$C$15, $D$11, 100%, $F$11)</f>
        <v>12.625299999999999</v>
      </c>
      <c r="I490" s="8">
        <f>CHOOSE( CONTROL!$C$32, 11.5532, 11.5482) * CHOOSE(CONTROL!$C$15, $D$11, 100%, $F$11)</f>
        <v>11.5532</v>
      </c>
      <c r="J490" s="4">
        <f>CHOOSE( CONTROL!$C$32, 11.4887, 11.4837) * CHOOSE(CONTROL!$C$15, $D$11, 100%, $F$11)</f>
        <v>11.4887</v>
      </c>
      <c r="K490" s="4"/>
      <c r="L490" s="9">
        <v>28.568200000000001</v>
      </c>
      <c r="M490" s="9">
        <v>11.6745</v>
      </c>
      <c r="N490" s="9">
        <v>4.7850000000000001</v>
      </c>
      <c r="O490" s="9">
        <v>0.36249999999999999</v>
      </c>
      <c r="P490" s="9">
        <v>1.1798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CONTROL!$C$32, 12.5106, 12.5053) * CHOOSE(CONTROL!$C$15, $D$11, 100%, $F$11)</f>
        <v>12.5106</v>
      </c>
      <c r="C491" s="8">
        <f>CHOOSE( CONTROL!$C$32, 12.521, 12.5157) * CHOOSE(CONTROL!$C$15, $D$11, 100%, $F$11)</f>
        <v>12.521000000000001</v>
      </c>
      <c r="D491" s="8">
        <f>CHOOSE( CONTROL!$C$32, 12.5316, 12.5263) * CHOOSE( CONTROL!$C$15, $D$11, 100%, $F$11)</f>
        <v>12.531599999999999</v>
      </c>
      <c r="E491" s="12">
        <f>CHOOSE( CONTROL!$C$32, 12.5262, 12.5209) * CHOOSE( CONTROL!$C$15, $D$11, 100%, $F$11)</f>
        <v>12.526199999999999</v>
      </c>
      <c r="F491" s="4">
        <f>CHOOSE( CONTROL!$C$32, 13.546, 13.5407) * CHOOSE(CONTROL!$C$15, $D$11, 100%, $F$11)</f>
        <v>13.545999999999999</v>
      </c>
      <c r="G491" s="8">
        <f>CHOOSE( CONTROL!$C$32, 12.1871, 12.182) * CHOOSE( CONTROL!$C$15, $D$11, 100%, $F$11)</f>
        <v>12.187099999999999</v>
      </c>
      <c r="H491" s="4">
        <f>CHOOSE( CONTROL!$C$32, 13.128, 13.1229) * CHOOSE(CONTROL!$C$15, $D$11, 100%, $F$11)</f>
        <v>13.128</v>
      </c>
      <c r="I491" s="8">
        <f>CHOOSE( CONTROL!$C$32, 12.051, 12.046) * CHOOSE(CONTROL!$C$15, $D$11, 100%, $F$11)</f>
        <v>12.051</v>
      </c>
      <c r="J491" s="4">
        <f>CHOOSE( CONTROL!$C$32, 11.9829, 11.9778) * CHOOSE(CONTROL!$C$15, $D$11, 100%, $F$11)</f>
        <v>11.982900000000001</v>
      </c>
      <c r="K491" s="4"/>
      <c r="L491" s="9">
        <v>29.520499999999998</v>
      </c>
      <c r="M491" s="9">
        <v>12.063700000000001</v>
      </c>
      <c r="N491" s="9">
        <v>4.9444999999999997</v>
      </c>
      <c r="O491" s="9">
        <v>0.37459999999999999</v>
      </c>
      <c r="P491" s="9">
        <v>1.2192000000000001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CONTROL!$C$32, 11.5456, 11.5404) * CHOOSE(CONTROL!$C$15, $D$11, 100%, $F$11)</f>
        <v>11.5456</v>
      </c>
      <c r="C492" s="8">
        <f>CHOOSE( CONTROL!$C$32, 11.5561, 11.5508) * CHOOSE(CONTROL!$C$15, $D$11, 100%, $F$11)</f>
        <v>11.556100000000001</v>
      </c>
      <c r="D492" s="8">
        <f>CHOOSE( CONTROL!$C$32, 11.567, 11.5617) * CHOOSE( CONTROL!$C$15, $D$11, 100%, $F$11)</f>
        <v>11.567</v>
      </c>
      <c r="E492" s="12">
        <f>CHOOSE( CONTROL!$C$32, 11.5614, 11.5562) * CHOOSE( CONTROL!$C$15, $D$11, 100%, $F$11)</f>
        <v>11.561400000000001</v>
      </c>
      <c r="F492" s="4">
        <f>CHOOSE( CONTROL!$C$32, 12.5811, 12.5758) * CHOOSE(CONTROL!$C$15, $D$11, 100%, $F$11)</f>
        <v>12.581099999999999</v>
      </c>
      <c r="G492" s="8">
        <f>CHOOSE( CONTROL!$C$32, 11.247, 11.2419) * CHOOSE( CONTROL!$C$15, $D$11, 100%, $F$11)</f>
        <v>11.247</v>
      </c>
      <c r="H492" s="4">
        <f>CHOOSE( CONTROL!$C$32, 12.1874, 12.1823) * CHOOSE(CONTROL!$C$15, $D$11, 100%, $F$11)</f>
        <v>12.1874</v>
      </c>
      <c r="I492" s="8">
        <f>CHOOSE( CONTROL!$C$32, 11.1276, 11.1225) * CHOOSE(CONTROL!$C$15, $D$11, 100%, $F$11)</f>
        <v>11.127599999999999</v>
      </c>
      <c r="J492" s="4">
        <f>CHOOSE( CONTROL!$C$32, 11.0583, 11.0532) * CHOOSE(CONTROL!$C$15, $D$11, 100%, $F$11)</f>
        <v>11.058299999999999</v>
      </c>
      <c r="K492" s="4"/>
      <c r="L492" s="9">
        <v>29.520499999999998</v>
      </c>
      <c r="M492" s="9">
        <v>12.063700000000001</v>
      </c>
      <c r="N492" s="9">
        <v>4.9444999999999997</v>
      </c>
      <c r="O492" s="9">
        <v>0.37459999999999999</v>
      </c>
      <c r="P492" s="9">
        <v>1.2192000000000001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CONTROL!$C$32, 11.304, 11.2987) * CHOOSE(CONTROL!$C$15, $D$11, 100%, $F$11)</f>
        <v>11.304</v>
      </c>
      <c r="C493" s="8">
        <f>CHOOSE( CONTROL!$C$32, 11.3144, 11.3092) * CHOOSE(CONTROL!$C$15, $D$11, 100%, $F$11)</f>
        <v>11.314399999999999</v>
      </c>
      <c r="D493" s="8">
        <f>CHOOSE( CONTROL!$C$32, 11.3255, 11.3203) * CHOOSE( CONTROL!$C$15, $D$11, 100%, $F$11)</f>
        <v>11.3255</v>
      </c>
      <c r="E493" s="12">
        <f>CHOOSE( CONTROL!$C$32, 11.3199, 11.3147) * CHOOSE( CONTROL!$C$15, $D$11, 100%, $F$11)</f>
        <v>11.319900000000001</v>
      </c>
      <c r="F493" s="4">
        <f>CHOOSE( CONTROL!$C$32, 12.3394, 12.3342) * CHOOSE(CONTROL!$C$15, $D$11, 100%, $F$11)</f>
        <v>12.339399999999999</v>
      </c>
      <c r="G493" s="8">
        <f>CHOOSE( CONTROL!$C$32, 11.0117, 11.0066) * CHOOSE( CONTROL!$C$15, $D$11, 100%, $F$11)</f>
        <v>11.011699999999999</v>
      </c>
      <c r="H493" s="4">
        <f>CHOOSE( CONTROL!$C$32, 11.9519, 11.9468) * CHOOSE(CONTROL!$C$15, $D$11, 100%, $F$11)</f>
        <v>11.9519</v>
      </c>
      <c r="I493" s="8">
        <f>CHOOSE( CONTROL!$C$32, 10.8966, 10.8916) * CHOOSE(CONTROL!$C$15, $D$11, 100%, $F$11)</f>
        <v>10.896599999999999</v>
      </c>
      <c r="J493" s="4">
        <f>CHOOSE( CONTROL!$C$32, 10.8267, 10.8217) * CHOOSE(CONTROL!$C$15, $D$11, 100%, $F$11)</f>
        <v>10.826700000000001</v>
      </c>
      <c r="K493" s="4"/>
      <c r="L493" s="9">
        <v>28.568200000000001</v>
      </c>
      <c r="M493" s="9">
        <v>11.6745</v>
      </c>
      <c r="N493" s="9">
        <v>4.7850000000000001</v>
      </c>
      <c r="O493" s="9">
        <v>0.36249999999999999</v>
      </c>
      <c r="P493" s="9">
        <v>1.1798</v>
      </c>
      <c r="Q493" s="9">
        <v>19.1142</v>
      </c>
      <c r="R493" s="9"/>
      <c r="S493" s="11"/>
    </row>
    <row r="494" spans="1:19" ht="15.75">
      <c r="A494" s="13">
        <v>56918</v>
      </c>
      <c r="B494" s="8">
        <f>11.8004 * CHOOSE(CONTROL!$C$15, $D$11, 100%, $F$11)</f>
        <v>11.8004</v>
      </c>
      <c r="C494" s="8">
        <f>11.8109 * CHOOSE(CONTROL!$C$15, $D$11, 100%, $F$11)</f>
        <v>11.8109</v>
      </c>
      <c r="D494" s="8">
        <f>11.8233 * CHOOSE( CONTROL!$C$15, $D$11, 100%, $F$11)</f>
        <v>11.8233</v>
      </c>
      <c r="E494" s="12">
        <f>11.8181 * CHOOSE( CONTROL!$C$15, $D$11, 100%, $F$11)</f>
        <v>11.818099999999999</v>
      </c>
      <c r="F494" s="4">
        <f>12.8359 * CHOOSE(CONTROL!$C$15, $D$11, 100%, $F$11)</f>
        <v>12.835900000000001</v>
      </c>
      <c r="G494" s="8">
        <f>11.495 * CHOOSE( CONTROL!$C$15, $D$11, 100%, $F$11)</f>
        <v>11.494999999999999</v>
      </c>
      <c r="H494" s="4">
        <f>12.4358 * CHOOSE(CONTROL!$C$15, $D$11, 100%, $F$11)</f>
        <v>12.4358</v>
      </c>
      <c r="I494" s="8">
        <f>11.374 * CHOOSE(CONTROL!$C$15, $D$11, 100%, $F$11)</f>
        <v>11.374000000000001</v>
      </c>
      <c r="J494" s="4">
        <f>11.3024 * CHOOSE(CONTROL!$C$15, $D$11, 100%, $F$11)</f>
        <v>11.3024</v>
      </c>
      <c r="K494" s="4"/>
      <c r="L494" s="9">
        <v>28.921800000000001</v>
      </c>
      <c r="M494" s="9">
        <v>12.063700000000001</v>
      </c>
      <c r="N494" s="9">
        <v>4.9444999999999997</v>
      </c>
      <c r="O494" s="9">
        <v>0.37459999999999999</v>
      </c>
      <c r="P494" s="9">
        <v>1.2192000000000001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12.7265 * CHOOSE(CONTROL!$C$15, $D$11, 100%, $F$11)</f>
        <v>12.7265</v>
      </c>
      <c r="C495" s="8">
        <f>12.7369 * CHOOSE(CONTROL!$C$15, $D$11, 100%, $F$11)</f>
        <v>12.7369</v>
      </c>
      <c r="D495" s="8">
        <f>12.7207 * CHOOSE( CONTROL!$C$15, $D$11, 100%, $F$11)</f>
        <v>12.720700000000001</v>
      </c>
      <c r="E495" s="12">
        <f>12.7255 * CHOOSE( CONTROL!$C$15, $D$11, 100%, $F$11)</f>
        <v>12.7255</v>
      </c>
      <c r="F495" s="4">
        <f>13.7207 * CHOOSE(CONTROL!$C$15, $D$11, 100%, $F$11)</f>
        <v>13.720700000000001</v>
      </c>
      <c r="G495" s="8">
        <f>12.4187 * CHOOSE( CONTROL!$C$15, $D$11, 100%, $F$11)</f>
        <v>12.418699999999999</v>
      </c>
      <c r="H495" s="4">
        <f>13.2983 * CHOOSE(CONTROL!$C$15, $D$11, 100%, $F$11)</f>
        <v>13.298299999999999</v>
      </c>
      <c r="I495" s="8">
        <f>12.2986 * CHOOSE(CONTROL!$C$15, $D$11, 100%, $F$11)</f>
        <v>12.2986</v>
      </c>
      <c r="J495" s="4">
        <f>12.1898 * CHOOSE(CONTROL!$C$15, $D$11, 100%, $F$11)</f>
        <v>12.1898</v>
      </c>
      <c r="K495" s="4"/>
      <c r="L495" s="9">
        <v>26.515499999999999</v>
      </c>
      <c r="M495" s="9">
        <v>11.6745</v>
      </c>
      <c r="N495" s="9">
        <v>4.7850000000000001</v>
      </c>
      <c r="O495" s="9">
        <v>0.36249999999999999</v>
      </c>
      <c r="P495" s="9">
        <v>1.2522</v>
      </c>
      <c r="Q495" s="9">
        <v>19.1142</v>
      </c>
      <c r="R495" s="9"/>
      <c r="S495" s="11"/>
    </row>
    <row r="496" spans="1:19" ht="15.75">
      <c r="A496" s="13">
        <v>56979</v>
      </c>
      <c r="B496" s="8">
        <f>12.7034 * CHOOSE(CONTROL!$C$15, $D$11, 100%, $F$11)</f>
        <v>12.7034</v>
      </c>
      <c r="C496" s="8">
        <f>12.7138 * CHOOSE(CONTROL!$C$15, $D$11, 100%, $F$11)</f>
        <v>12.713800000000001</v>
      </c>
      <c r="D496" s="8">
        <f>12.6999 * CHOOSE( CONTROL!$C$15, $D$11, 100%, $F$11)</f>
        <v>12.6999</v>
      </c>
      <c r="E496" s="12">
        <f>12.7039 * CHOOSE( CONTROL!$C$15, $D$11, 100%, $F$11)</f>
        <v>12.703900000000001</v>
      </c>
      <c r="F496" s="4">
        <f>13.6976 * CHOOSE(CONTROL!$C$15, $D$11, 100%, $F$11)</f>
        <v>13.6976</v>
      </c>
      <c r="G496" s="8">
        <f>12.3979 * CHOOSE( CONTROL!$C$15, $D$11, 100%, $F$11)</f>
        <v>12.3979</v>
      </c>
      <c r="H496" s="4">
        <f>13.2758 * CHOOSE(CONTROL!$C$15, $D$11, 100%, $F$11)</f>
        <v>13.2758</v>
      </c>
      <c r="I496" s="8">
        <f>12.284 * CHOOSE(CONTROL!$C$15, $D$11, 100%, $F$11)</f>
        <v>12.284000000000001</v>
      </c>
      <c r="J496" s="4">
        <f>12.1676 * CHOOSE(CONTROL!$C$15, $D$11, 100%, $F$11)</f>
        <v>12.1676</v>
      </c>
      <c r="K496" s="4"/>
      <c r="L496" s="9">
        <v>27.3993</v>
      </c>
      <c r="M496" s="9">
        <v>12.063700000000001</v>
      </c>
      <c r="N496" s="9">
        <v>4.9444999999999997</v>
      </c>
      <c r="O496" s="9">
        <v>0.37459999999999999</v>
      </c>
      <c r="P496" s="9">
        <v>1.2939000000000001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13.1887 * CHOOSE(CONTROL!$C$15, $D$11, 100%, $F$11)</f>
        <v>13.188700000000001</v>
      </c>
      <c r="C497" s="8">
        <f>13.1991 * CHOOSE(CONTROL!$C$15, $D$11, 100%, $F$11)</f>
        <v>13.1991</v>
      </c>
      <c r="D497" s="8">
        <f>13.1985 * CHOOSE( CONTROL!$C$15, $D$11, 100%, $F$11)</f>
        <v>13.198499999999999</v>
      </c>
      <c r="E497" s="12">
        <f>13.1976 * CHOOSE( CONTROL!$C$15, $D$11, 100%, $F$11)</f>
        <v>13.1976</v>
      </c>
      <c r="F497" s="4">
        <f>14.2116 * CHOOSE(CONTROL!$C$15, $D$11, 100%, $F$11)</f>
        <v>14.211600000000001</v>
      </c>
      <c r="G497" s="8">
        <f>12.8845 * CHOOSE( CONTROL!$C$15, $D$11, 100%, $F$11)</f>
        <v>12.884499999999999</v>
      </c>
      <c r="H497" s="4">
        <f>13.7768 * CHOOSE(CONTROL!$C$15, $D$11, 100%, $F$11)</f>
        <v>13.7768</v>
      </c>
      <c r="I497" s="8">
        <f>12.7476 * CHOOSE(CONTROL!$C$15, $D$11, 100%, $F$11)</f>
        <v>12.7476</v>
      </c>
      <c r="J497" s="4">
        <f>12.6326 * CHOOSE(CONTROL!$C$15, $D$11, 100%, $F$11)</f>
        <v>12.6326</v>
      </c>
      <c r="K497" s="4"/>
      <c r="L497" s="9">
        <v>27.3993</v>
      </c>
      <c r="M497" s="9">
        <v>12.063700000000001</v>
      </c>
      <c r="N497" s="9">
        <v>4.9444999999999997</v>
      </c>
      <c r="O497" s="9">
        <v>0.37459999999999999</v>
      </c>
      <c r="P497" s="9">
        <v>1.2939000000000001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12.3364 * CHOOSE(CONTROL!$C$15, $D$11, 100%, $F$11)</f>
        <v>12.336399999999999</v>
      </c>
      <c r="C498" s="8">
        <f>12.3468 * CHOOSE(CONTROL!$C$15, $D$11, 100%, $F$11)</f>
        <v>12.3468</v>
      </c>
      <c r="D498" s="8">
        <f>12.3483 * CHOOSE( CONTROL!$C$15, $D$11, 100%, $F$11)</f>
        <v>12.3483</v>
      </c>
      <c r="E498" s="12">
        <f>12.3466 * CHOOSE( CONTROL!$C$15, $D$11, 100%, $F$11)</f>
        <v>12.3466</v>
      </c>
      <c r="F498" s="4">
        <f>13.3515 * CHOOSE(CONTROL!$C$15, $D$11, 100%, $F$11)</f>
        <v>13.3515</v>
      </c>
      <c r="G498" s="8">
        <f>12.0535 * CHOOSE( CONTROL!$C$15, $D$11, 100%, $F$11)</f>
        <v>12.0535</v>
      </c>
      <c r="H498" s="4">
        <f>12.9384 * CHOOSE(CONTROL!$C$15, $D$11, 100%, $F$11)</f>
        <v>12.9384</v>
      </c>
      <c r="I498" s="8">
        <f>11.9195 * CHOOSE(CONTROL!$C$15, $D$11, 100%, $F$11)</f>
        <v>11.919499999999999</v>
      </c>
      <c r="J498" s="4">
        <f>11.816 * CHOOSE(CONTROL!$C$15, $D$11, 100%, $F$11)</f>
        <v>11.816000000000001</v>
      </c>
      <c r="K498" s="4"/>
      <c r="L498" s="9">
        <v>25.631599999999999</v>
      </c>
      <c r="M498" s="9">
        <v>11.285299999999999</v>
      </c>
      <c r="N498" s="9">
        <v>4.6254999999999997</v>
      </c>
      <c r="O498" s="9">
        <v>0.35039999999999999</v>
      </c>
      <c r="P498" s="9">
        <v>1.2104999999999999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12.0739 * CHOOSE(CONTROL!$C$15, $D$11, 100%, $F$11)</f>
        <v>12.0739</v>
      </c>
      <c r="C499" s="8">
        <f>12.0843 * CHOOSE(CONTROL!$C$15, $D$11, 100%, $F$11)</f>
        <v>12.084300000000001</v>
      </c>
      <c r="D499" s="8">
        <f>12.0653 * CHOOSE( CONTROL!$C$15, $D$11, 100%, $F$11)</f>
        <v>12.065300000000001</v>
      </c>
      <c r="E499" s="12">
        <f>12.0711 * CHOOSE( CONTROL!$C$15, $D$11, 100%, $F$11)</f>
        <v>12.071099999999999</v>
      </c>
      <c r="F499" s="4">
        <f>13.0728 * CHOOSE(CONTROL!$C$15, $D$11, 100%, $F$11)</f>
        <v>13.072800000000001</v>
      </c>
      <c r="G499" s="8">
        <f>11.7769 * CHOOSE( CONTROL!$C$15, $D$11, 100%, $F$11)</f>
        <v>11.776899999999999</v>
      </c>
      <c r="H499" s="4">
        <f>12.6667 * CHOOSE(CONTROL!$C$15, $D$11, 100%, $F$11)</f>
        <v>12.666700000000001</v>
      </c>
      <c r="I499" s="8">
        <f>11.6284 * CHOOSE(CONTROL!$C$15, $D$11, 100%, $F$11)</f>
        <v>11.628399999999999</v>
      </c>
      <c r="J499" s="4">
        <f>11.5644 * CHOOSE(CONTROL!$C$15, $D$11, 100%, $F$11)</f>
        <v>11.564399999999999</v>
      </c>
      <c r="K499" s="4"/>
      <c r="L499" s="9">
        <v>27.3993</v>
      </c>
      <c r="M499" s="9">
        <v>12.063700000000001</v>
      </c>
      <c r="N499" s="9">
        <v>4.9444999999999997</v>
      </c>
      <c r="O499" s="9">
        <v>0.37459999999999999</v>
      </c>
      <c r="P499" s="9">
        <v>1.2939000000000001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12.2573 * CHOOSE(CONTROL!$C$15, $D$11, 100%, $F$11)</f>
        <v>12.257300000000001</v>
      </c>
      <c r="C500" s="8">
        <f>12.2677 * CHOOSE(CONTROL!$C$15, $D$11, 100%, $F$11)</f>
        <v>12.2677</v>
      </c>
      <c r="D500" s="8">
        <f>12.2718 * CHOOSE( CONTROL!$C$15, $D$11, 100%, $F$11)</f>
        <v>12.271800000000001</v>
      </c>
      <c r="E500" s="12">
        <f>12.2693 * CHOOSE( CONTROL!$C$15, $D$11, 100%, $F$11)</f>
        <v>12.269299999999999</v>
      </c>
      <c r="F500" s="4">
        <f>13.2646 * CHOOSE(CONTROL!$C$15, $D$11, 100%, $F$11)</f>
        <v>13.2646</v>
      </c>
      <c r="G500" s="8">
        <f>11.9441 * CHOOSE( CONTROL!$C$15, $D$11, 100%, $F$11)</f>
        <v>11.944100000000001</v>
      </c>
      <c r="H500" s="4">
        <f>12.8537 * CHOOSE(CONTROL!$C$15, $D$11, 100%, $F$11)</f>
        <v>12.8537</v>
      </c>
      <c r="I500" s="8">
        <f>11.7943 * CHOOSE(CONTROL!$C$15, $D$11, 100%, $F$11)</f>
        <v>11.7943</v>
      </c>
      <c r="J500" s="4">
        <f>11.7402 * CHOOSE(CONTROL!$C$15, $D$11, 100%, $F$11)</f>
        <v>11.7402</v>
      </c>
      <c r="K500" s="4"/>
      <c r="L500" s="9">
        <v>27.988800000000001</v>
      </c>
      <c r="M500" s="9">
        <v>11.6745</v>
      </c>
      <c r="N500" s="9">
        <v>4.7850000000000001</v>
      </c>
      <c r="O500" s="9">
        <v>0.36249999999999999</v>
      </c>
      <c r="P500" s="9">
        <v>1.1798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CONTROL!$C$32, 12.589, 12.5838) * CHOOSE(CONTROL!$C$15, $D$11, 100%, $F$11)</f>
        <v>12.589</v>
      </c>
      <c r="C501" s="8">
        <f>CHOOSE( CONTROL!$C$32, 12.5995, 12.5942) * CHOOSE(CONTROL!$C$15, $D$11, 100%, $F$11)</f>
        <v>12.599500000000001</v>
      </c>
      <c r="D501" s="8">
        <f>CHOOSE( CONTROL!$C$32, 12.6123, 12.6071) * CHOOSE( CONTROL!$C$15, $D$11, 100%, $F$11)</f>
        <v>12.612299999999999</v>
      </c>
      <c r="E501" s="12">
        <f>CHOOSE( CONTROL!$C$32, 12.6061, 12.6008) * CHOOSE( CONTROL!$C$15, $D$11, 100%, $F$11)</f>
        <v>12.6061</v>
      </c>
      <c r="F501" s="4">
        <f>CHOOSE( CONTROL!$C$32, 13.6119, 13.6067) * CHOOSE(CONTROL!$C$15, $D$11, 100%, $F$11)</f>
        <v>13.6119</v>
      </c>
      <c r="G501" s="8">
        <f>CHOOSE( CONTROL!$C$32, 12.273, 12.2679) * CHOOSE( CONTROL!$C$15, $D$11, 100%, $F$11)</f>
        <v>12.273</v>
      </c>
      <c r="H501" s="4">
        <f>CHOOSE( CONTROL!$C$32, 13.1923, 13.1872) * CHOOSE(CONTROL!$C$15, $D$11, 100%, $F$11)</f>
        <v>13.192299999999999</v>
      </c>
      <c r="I501" s="8">
        <f>CHOOSE( CONTROL!$C$32, 12.1176, 12.1126) * CHOOSE(CONTROL!$C$15, $D$11, 100%, $F$11)</f>
        <v>12.117599999999999</v>
      </c>
      <c r="J501" s="4">
        <f>CHOOSE( CONTROL!$C$32, 12.0581, 12.053) * CHOOSE(CONTROL!$C$15, $D$11, 100%, $F$11)</f>
        <v>12.0581</v>
      </c>
      <c r="K501" s="4"/>
      <c r="L501" s="9">
        <v>29.520499999999998</v>
      </c>
      <c r="M501" s="9">
        <v>12.063700000000001</v>
      </c>
      <c r="N501" s="9">
        <v>4.9444999999999997</v>
      </c>
      <c r="O501" s="9">
        <v>0.37459999999999999</v>
      </c>
      <c r="P501" s="9">
        <v>1.2192000000000001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CONTROL!$C$32, 12.3868, 12.3815) * CHOOSE(CONTROL!$C$15, $D$11, 100%, $F$11)</f>
        <v>12.386799999999999</v>
      </c>
      <c r="C502" s="8">
        <f>CHOOSE( CONTROL!$C$32, 12.3972, 12.392) * CHOOSE(CONTROL!$C$15, $D$11, 100%, $F$11)</f>
        <v>12.3972</v>
      </c>
      <c r="D502" s="8">
        <f>CHOOSE( CONTROL!$C$32, 12.4177, 12.4124) * CHOOSE( CONTROL!$C$15, $D$11, 100%, $F$11)</f>
        <v>12.4177</v>
      </c>
      <c r="E502" s="12">
        <f>CHOOSE( CONTROL!$C$32, 12.4087, 12.4034) * CHOOSE( CONTROL!$C$15, $D$11, 100%, $F$11)</f>
        <v>12.4087</v>
      </c>
      <c r="F502" s="4">
        <f>CHOOSE( CONTROL!$C$32, 13.4222, 13.417) * CHOOSE(CONTROL!$C$15, $D$11, 100%, $F$11)</f>
        <v>13.4222</v>
      </c>
      <c r="G502" s="8">
        <f>CHOOSE( CONTROL!$C$32, 12.0797, 12.0746) * CHOOSE( CONTROL!$C$15, $D$11, 100%, $F$11)</f>
        <v>12.079700000000001</v>
      </c>
      <c r="H502" s="4">
        <f>CHOOSE( CONTROL!$C$32, 13.0074, 13.0022) * CHOOSE(CONTROL!$C$15, $D$11, 100%, $F$11)</f>
        <v>13.007400000000001</v>
      </c>
      <c r="I502" s="8">
        <f>CHOOSE( CONTROL!$C$32, 11.929, 11.9239) * CHOOSE(CONTROL!$C$15, $D$11, 100%, $F$11)</f>
        <v>11.929</v>
      </c>
      <c r="J502" s="4">
        <f>CHOOSE( CONTROL!$C$32, 11.8643, 11.8592) * CHOOSE(CONTROL!$C$15, $D$11, 100%, $F$11)</f>
        <v>11.8643</v>
      </c>
      <c r="K502" s="4"/>
      <c r="L502" s="9">
        <v>28.568200000000001</v>
      </c>
      <c r="M502" s="9">
        <v>11.6745</v>
      </c>
      <c r="N502" s="9">
        <v>4.7850000000000001</v>
      </c>
      <c r="O502" s="9">
        <v>0.36249999999999999</v>
      </c>
      <c r="P502" s="9">
        <v>1.1798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CONTROL!$C$32, 12.9194, 12.9141) * CHOOSE(CONTROL!$C$15, $D$11, 100%, $F$11)</f>
        <v>12.9194</v>
      </c>
      <c r="C503" s="8">
        <f>CHOOSE( CONTROL!$C$32, 12.9298, 12.9246) * CHOOSE(CONTROL!$C$15, $D$11, 100%, $F$11)</f>
        <v>12.9298</v>
      </c>
      <c r="D503" s="8">
        <f>CHOOSE( CONTROL!$C$32, 12.9404, 12.9352) * CHOOSE( CONTROL!$C$15, $D$11, 100%, $F$11)</f>
        <v>12.9404</v>
      </c>
      <c r="E503" s="12">
        <f>CHOOSE( CONTROL!$C$32, 12.935, 12.9298) * CHOOSE( CONTROL!$C$15, $D$11, 100%, $F$11)</f>
        <v>12.935</v>
      </c>
      <c r="F503" s="4">
        <f>CHOOSE( CONTROL!$C$32, 13.9548, 13.9495) * CHOOSE(CONTROL!$C$15, $D$11, 100%, $F$11)</f>
        <v>13.954800000000001</v>
      </c>
      <c r="G503" s="8">
        <f>CHOOSE( CONTROL!$C$32, 12.5856, 12.5805) * CHOOSE( CONTROL!$C$15, $D$11, 100%, $F$11)</f>
        <v>12.585599999999999</v>
      </c>
      <c r="H503" s="4">
        <f>CHOOSE( CONTROL!$C$32, 13.5265, 13.5214) * CHOOSE(CONTROL!$C$15, $D$11, 100%, $F$11)</f>
        <v>13.5265</v>
      </c>
      <c r="I503" s="8">
        <f>CHOOSE( CONTROL!$C$32, 12.4429, 12.4379) * CHOOSE(CONTROL!$C$15, $D$11, 100%, $F$11)</f>
        <v>12.4429</v>
      </c>
      <c r="J503" s="4">
        <f>CHOOSE( CONTROL!$C$32, 12.3746, 12.3695) * CHOOSE(CONTROL!$C$15, $D$11, 100%, $F$11)</f>
        <v>12.374599999999999</v>
      </c>
      <c r="K503" s="4"/>
      <c r="L503" s="9">
        <v>29.520499999999998</v>
      </c>
      <c r="M503" s="9">
        <v>12.063700000000001</v>
      </c>
      <c r="N503" s="9">
        <v>4.9444999999999997</v>
      </c>
      <c r="O503" s="9">
        <v>0.37459999999999999</v>
      </c>
      <c r="P503" s="9">
        <v>1.2192000000000001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CONTROL!$C$32, 11.9229, 11.9176) * CHOOSE(CONTROL!$C$15, $D$11, 100%, $F$11)</f>
        <v>11.9229</v>
      </c>
      <c r="C504" s="8">
        <f>CHOOSE( CONTROL!$C$32, 11.9333, 11.9281) * CHOOSE(CONTROL!$C$15, $D$11, 100%, $F$11)</f>
        <v>11.933299999999999</v>
      </c>
      <c r="D504" s="8">
        <f>CHOOSE( CONTROL!$C$32, 11.9443, 11.939) * CHOOSE( CONTROL!$C$15, $D$11, 100%, $F$11)</f>
        <v>11.9443</v>
      </c>
      <c r="E504" s="12">
        <f>CHOOSE( CONTROL!$C$32, 11.9387, 11.9334) * CHOOSE( CONTROL!$C$15, $D$11, 100%, $F$11)</f>
        <v>11.938700000000001</v>
      </c>
      <c r="F504" s="4">
        <f>CHOOSE( CONTROL!$C$32, 12.9583, 12.9531) * CHOOSE(CONTROL!$C$15, $D$11, 100%, $F$11)</f>
        <v>12.958299999999999</v>
      </c>
      <c r="G504" s="8">
        <f>CHOOSE( CONTROL!$C$32, 11.6148, 11.6097) * CHOOSE( CONTROL!$C$15, $D$11, 100%, $F$11)</f>
        <v>11.614800000000001</v>
      </c>
      <c r="H504" s="4">
        <f>CHOOSE( CONTROL!$C$32, 12.5551, 12.55) * CHOOSE(CONTROL!$C$15, $D$11, 100%, $F$11)</f>
        <v>12.555099999999999</v>
      </c>
      <c r="I504" s="8">
        <f>CHOOSE( CONTROL!$C$32, 11.4892, 11.4842) * CHOOSE(CONTROL!$C$15, $D$11, 100%, $F$11)</f>
        <v>11.4892</v>
      </c>
      <c r="J504" s="4">
        <f>CHOOSE( CONTROL!$C$32, 11.4197, 11.4147) * CHOOSE(CONTROL!$C$15, $D$11, 100%, $F$11)</f>
        <v>11.419700000000001</v>
      </c>
      <c r="K504" s="4"/>
      <c r="L504" s="9">
        <v>29.520499999999998</v>
      </c>
      <c r="M504" s="9">
        <v>12.063700000000001</v>
      </c>
      <c r="N504" s="9">
        <v>4.9444999999999997</v>
      </c>
      <c r="O504" s="9">
        <v>0.37459999999999999</v>
      </c>
      <c r="P504" s="9">
        <v>1.2192000000000001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CONTROL!$C$32, 11.6733, 11.6681) * CHOOSE(CONTROL!$C$15, $D$11, 100%, $F$11)</f>
        <v>11.673299999999999</v>
      </c>
      <c r="C505" s="8">
        <f>CHOOSE( CONTROL!$C$32, 11.6838, 11.6785) * CHOOSE(CONTROL!$C$15, $D$11, 100%, $F$11)</f>
        <v>11.6838</v>
      </c>
      <c r="D505" s="8">
        <f>CHOOSE( CONTROL!$C$32, 11.6949, 11.6896) * CHOOSE( CONTROL!$C$15, $D$11, 100%, $F$11)</f>
        <v>11.694900000000001</v>
      </c>
      <c r="E505" s="12">
        <f>CHOOSE( CONTROL!$C$32, 11.6893, 11.684) * CHOOSE( CONTROL!$C$15, $D$11, 100%, $F$11)</f>
        <v>11.689299999999999</v>
      </c>
      <c r="F505" s="4">
        <f>CHOOSE( CONTROL!$C$32, 12.7088, 12.7035) * CHOOSE(CONTROL!$C$15, $D$11, 100%, $F$11)</f>
        <v>12.7088</v>
      </c>
      <c r="G505" s="8">
        <f>CHOOSE( CONTROL!$C$32, 11.3718, 11.3666) * CHOOSE( CONTROL!$C$15, $D$11, 100%, $F$11)</f>
        <v>11.3718</v>
      </c>
      <c r="H505" s="4">
        <f>CHOOSE( CONTROL!$C$32, 12.3119, 12.3068) * CHOOSE(CONTROL!$C$15, $D$11, 100%, $F$11)</f>
        <v>12.3119</v>
      </c>
      <c r="I505" s="8">
        <f>CHOOSE( CONTROL!$C$32, 11.2507, 11.2457) * CHOOSE(CONTROL!$C$15, $D$11, 100%, $F$11)</f>
        <v>11.2507</v>
      </c>
      <c r="J505" s="4">
        <f>CHOOSE( CONTROL!$C$32, 11.1806, 11.1756) * CHOOSE(CONTROL!$C$15, $D$11, 100%, $F$11)</f>
        <v>11.1806</v>
      </c>
      <c r="K505" s="4"/>
      <c r="L505" s="9">
        <v>28.568200000000001</v>
      </c>
      <c r="M505" s="9">
        <v>11.6745</v>
      </c>
      <c r="N505" s="9">
        <v>4.7850000000000001</v>
      </c>
      <c r="O505" s="9">
        <v>0.36249999999999999</v>
      </c>
      <c r="P505" s="9">
        <v>1.1798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12.1862 * CHOOSE(CONTROL!$C$15, $D$11, 100%, $F$11)</f>
        <v>12.186199999999999</v>
      </c>
      <c r="C506" s="8">
        <f>12.1966 * CHOOSE(CONTROL!$C$15, $D$11, 100%, $F$11)</f>
        <v>12.1966</v>
      </c>
      <c r="D506" s="8">
        <f>12.209 * CHOOSE( CONTROL!$C$15, $D$11, 100%, $F$11)</f>
        <v>12.209</v>
      </c>
      <c r="E506" s="12">
        <f>12.2038 * CHOOSE( CONTROL!$C$15, $D$11, 100%, $F$11)</f>
        <v>12.203799999999999</v>
      </c>
      <c r="F506" s="4">
        <f>13.2216 * CHOOSE(CONTROL!$C$15, $D$11, 100%, $F$11)</f>
        <v>13.2216</v>
      </c>
      <c r="G506" s="8">
        <f>11.871 * CHOOSE( CONTROL!$C$15, $D$11, 100%, $F$11)</f>
        <v>11.871</v>
      </c>
      <c r="H506" s="4">
        <f>12.8118 * CHOOSE(CONTROL!$C$15, $D$11, 100%, $F$11)</f>
        <v>12.8118</v>
      </c>
      <c r="I506" s="8">
        <f>11.7438 * CHOOSE(CONTROL!$C$15, $D$11, 100%, $F$11)</f>
        <v>11.7438</v>
      </c>
      <c r="J506" s="4">
        <f>11.6721 * CHOOSE(CONTROL!$C$15, $D$11, 100%, $F$11)</f>
        <v>11.6721</v>
      </c>
      <c r="K506" s="4"/>
      <c r="L506" s="9">
        <v>28.921800000000001</v>
      </c>
      <c r="M506" s="9">
        <v>12.063700000000001</v>
      </c>
      <c r="N506" s="9">
        <v>4.9444999999999997</v>
      </c>
      <c r="O506" s="9">
        <v>0.37459999999999999</v>
      </c>
      <c r="P506" s="9">
        <v>1.2192000000000001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13.1425 * CHOOSE(CONTROL!$C$15, $D$11, 100%, $F$11)</f>
        <v>13.1425</v>
      </c>
      <c r="C507" s="8">
        <f>13.153 * CHOOSE(CONTROL!$C$15, $D$11, 100%, $F$11)</f>
        <v>13.153</v>
      </c>
      <c r="D507" s="8">
        <f>13.1367 * CHOOSE( CONTROL!$C$15, $D$11, 100%, $F$11)</f>
        <v>13.136699999999999</v>
      </c>
      <c r="E507" s="12">
        <f>13.1415 * CHOOSE( CONTROL!$C$15, $D$11, 100%, $F$11)</f>
        <v>13.141500000000001</v>
      </c>
      <c r="F507" s="4">
        <f>14.1368 * CHOOSE(CONTROL!$C$15, $D$11, 100%, $F$11)</f>
        <v>14.136799999999999</v>
      </c>
      <c r="G507" s="8">
        <f>12.8242 * CHOOSE( CONTROL!$C$15, $D$11, 100%, $F$11)</f>
        <v>12.824199999999999</v>
      </c>
      <c r="H507" s="4">
        <f>13.7039 * CHOOSE(CONTROL!$C$15, $D$11, 100%, $F$11)</f>
        <v>13.703900000000001</v>
      </c>
      <c r="I507" s="8">
        <f>12.6975 * CHOOSE(CONTROL!$C$15, $D$11, 100%, $F$11)</f>
        <v>12.6975</v>
      </c>
      <c r="J507" s="4">
        <f>12.5884 * CHOOSE(CONTROL!$C$15, $D$11, 100%, $F$11)</f>
        <v>12.5884</v>
      </c>
      <c r="K507" s="4"/>
      <c r="L507" s="9">
        <v>26.515499999999999</v>
      </c>
      <c r="M507" s="9">
        <v>11.6745</v>
      </c>
      <c r="N507" s="9">
        <v>4.7850000000000001</v>
      </c>
      <c r="O507" s="9">
        <v>0.36249999999999999</v>
      </c>
      <c r="P507" s="9">
        <v>1.2522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13.1187 * CHOOSE(CONTROL!$C$15, $D$11, 100%, $F$11)</f>
        <v>13.1187</v>
      </c>
      <c r="C508" s="8">
        <f>13.1291 * CHOOSE(CONTROL!$C$15, $D$11, 100%, $F$11)</f>
        <v>13.129099999999999</v>
      </c>
      <c r="D508" s="8">
        <f>13.1151 * CHOOSE( CONTROL!$C$15, $D$11, 100%, $F$11)</f>
        <v>13.1151</v>
      </c>
      <c r="E508" s="12">
        <f>13.1191 * CHOOSE( CONTROL!$C$15, $D$11, 100%, $F$11)</f>
        <v>13.1191</v>
      </c>
      <c r="F508" s="4">
        <f>14.1129 * CHOOSE(CONTROL!$C$15, $D$11, 100%, $F$11)</f>
        <v>14.1129</v>
      </c>
      <c r="G508" s="8">
        <f>12.8027 * CHOOSE( CONTROL!$C$15, $D$11, 100%, $F$11)</f>
        <v>12.8027</v>
      </c>
      <c r="H508" s="4">
        <f>13.6806 * CHOOSE(CONTROL!$C$15, $D$11, 100%, $F$11)</f>
        <v>13.6806</v>
      </c>
      <c r="I508" s="8">
        <f>12.6821 * CHOOSE(CONTROL!$C$15, $D$11, 100%, $F$11)</f>
        <v>12.6821</v>
      </c>
      <c r="J508" s="4">
        <f>12.5655 * CHOOSE(CONTROL!$C$15, $D$11, 100%, $F$11)</f>
        <v>12.5655</v>
      </c>
      <c r="K508" s="4"/>
      <c r="L508" s="9">
        <v>27.3993</v>
      </c>
      <c r="M508" s="9">
        <v>12.063700000000001</v>
      </c>
      <c r="N508" s="9">
        <v>4.9444999999999997</v>
      </c>
      <c r="O508" s="9">
        <v>0.37459999999999999</v>
      </c>
      <c r="P508" s="9">
        <v>1.2939000000000001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13.6198 * CHOOSE(CONTROL!$C$15, $D$11, 100%, $F$11)</f>
        <v>13.6198</v>
      </c>
      <c r="C509" s="8">
        <f>13.6303 * CHOOSE(CONTROL!$C$15, $D$11, 100%, $F$11)</f>
        <v>13.6303</v>
      </c>
      <c r="D509" s="8">
        <f>13.6296 * CHOOSE( CONTROL!$C$15, $D$11, 100%, $F$11)</f>
        <v>13.6296</v>
      </c>
      <c r="E509" s="12">
        <f>13.6287 * CHOOSE( CONTROL!$C$15, $D$11, 100%, $F$11)</f>
        <v>13.6287</v>
      </c>
      <c r="F509" s="4">
        <f>14.6428 * CHOOSE(CONTROL!$C$15, $D$11, 100%, $F$11)</f>
        <v>14.642799999999999</v>
      </c>
      <c r="G509" s="8">
        <f>13.3048 * CHOOSE( CONTROL!$C$15, $D$11, 100%, $F$11)</f>
        <v>13.3048</v>
      </c>
      <c r="H509" s="4">
        <f>14.1971 * CHOOSE(CONTROL!$C$15, $D$11, 100%, $F$11)</f>
        <v>14.197100000000001</v>
      </c>
      <c r="I509" s="8">
        <f>13.1609 * CHOOSE(CONTROL!$C$15, $D$11, 100%, $F$11)</f>
        <v>13.1609</v>
      </c>
      <c r="J509" s="4">
        <f>13.0458 * CHOOSE(CONTROL!$C$15, $D$11, 100%, $F$11)</f>
        <v>13.0458</v>
      </c>
      <c r="K509" s="4"/>
      <c r="L509" s="9">
        <v>27.3993</v>
      </c>
      <c r="M509" s="9">
        <v>12.063700000000001</v>
      </c>
      <c r="N509" s="9">
        <v>4.9444999999999997</v>
      </c>
      <c r="O509" s="9">
        <v>0.37459999999999999</v>
      </c>
      <c r="P509" s="9">
        <v>1.2939000000000001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12.7397 * CHOOSE(CONTROL!$C$15, $D$11, 100%, $F$11)</f>
        <v>12.739699999999999</v>
      </c>
      <c r="C510" s="8">
        <f>12.7501 * CHOOSE(CONTROL!$C$15, $D$11, 100%, $F$11)</f>
        <v>12.7501</v>
      </c>
      <c r="D510" s="8">
        <f>12.7516 * CHOOSE( CONTROL!$C$15, $D$11, 100%, $F$11)</f>
        <v>12.7516</v>
      </c>
      <c r="E510" s="12">
        <f>12.7499 * CHOOSE( CONTROL!$C$15, $D$11, 100%, $F$11)</f>
        <v>12.7499</v>
      </c>
      <c r="F510" s="4">
        <f>13.7548 * CHOOSE(CONTROL!$C$15, $D$11, 100%, $F$11)</f>
        <v>13.754799999999999</v>
      </c>
      <c r="G510" s="8">
        <f>12.4466 * CHOOSE( CONTROL!$C$15, $D$11, 100%, $F$11)</f>
        <v>12.4466</v>
      </c>
      <c r="H510" s="4">
        <f>13.3315 * CHOOSE(CONTROL!$C$15, $D$11, 100%, $F$11)</f>
        <v>13.3315</v>
      </c>
      <c r="I510" s="8">
        <f>12.3061 * CHOOSE(CONTROL!$C$15, $D$11, 100%, $F$11)</f>
        <v>12.306100000000001</v>
      </c>
      <c r="J510" s="4">
        <f>12.2024 * CHOOSE(CONTROL!$C$15, $D$11, 100%, $F$11)</f>
        <v>12.202400000000001</v>
      </c>
      <c r="K510" s="4"/>
      <c r="L510" s="9">
        <v>24.747800000000002</v>
      </c>
      <c r="M510" s="9">
        <v>10.8962</v>
      </c>
      <c r="N510" s="9">
        <v>4.4660000000000002</v>
      </c>
      <c r="O510" s="9">
        <v>0.33829999999999999</v>
      </c>
      <c r="P510" s="9">
        <v>1.1687000000000001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12.4686 * CHOOSE(CONTROL!$C$15, $D$11, 100%, $F$11)</f>
        <v>12.4686</v>
      </c>
      <c r="C511" s="8">
        <f>12.479 * CHOOSE(CONTROL!$C$15, $D$11, 100%, $F$11)</f>
        <v>12.478999999999999</v>
      </c>
      <c r="D511" s="8">
        <f>12.46 * CHOOSE( CONTROL!$C$15, $D$11, 100%, $F$11)</f>
        <v>12.46</v>
      </c>
      <c r="E511" s="12">
        <f>12.4658 * CHOOSE( CONTROL!$C$15, $D$11, 100%, $F$11)</f>
        <v>12.4658</v>
      </c>
      <c r="F511" s="4">
        <f>13.4675 * CHOOSE(CONTROL!$C$15, $D$11, 100%, $F$11)</f>
        <v>13.467499999999999</v>
      </c>
      <c r="G511" s="8">
        <f>12.1616 * CHOOSE( CONTROL!$C$15, $D$11, 100%, $F$11)</f>
        <v>12.1616</v>
      </c>
      <c r="H511" s="4">
        <f>13.0515 * CHOOSE(CONTROL!$C$15, $D$11, 100%, $F$11)</f>
        <v>13.051500000000001</v>
      </c>
      <c r="I511" s="8">
        <f>12.0067 * CHOOSE(CONTROL!$C$15, $D$11, 100%, $F$11)</f>
        <v>12.0067</v>
      </c>
      <c r="J511" s="4">
        <f>11.9426 * CHOOSE(CONTROL!$C$15, $D$11, 100%, $F$11)</f>
        <v>11.942600000000001</v>
      </c>
      <c r="K511" s="4"/>
      <c r="L511" s="9">
        <v>27.3993</v>
      </c>
      <c r="M511" s="9">
        <v>12.063700000000001</v>
      </c>
      <c r="N511" s="9">
        <v>4.9444999999999997</v>
      </c>
      <c r="O511" s="9">
        <v>0.37459999999999999</v>
      </c>
      <c r="P511" s="9">
        <v>1.2939000000000001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12.658 * CHOOSE(CONTROL!$C$15, $D$11, 100%, $F$11)</f>
        <v>12.657999999999999</v>
      </c>
      <c r="C512" s="8">
        <f>12.6684 * CHOOSE(CONTROL!$C$15, $D$11, 100%, $F$11)</f>
        <v>12.6684</v>
      </c>
      <c r="D512" s="8">
        <f>12.6725 * CHOOSE( CONTROL!$C$15, $D$11, 100%, $F$11)</f>
        <v>12.672499999999999</v>
      </c>
      <c r="E512" s="12">
        <f>12.67 * CHOOSE( CONTROL!$C$15, $D$11, 100%, $F$11)</f>
        <v>12.67</v>
      </c>
      <c r="F512" s="4">
        <f>13.6653 * CHOOSE(CONTROL!$C$15, $D$11, 100%, $F$11)</f>
        <v>13.6653</v>
      </c>
      <c r="G512" s="8">
        <f>12.3347 * CHOOSE( CONTROL!$C$15, $D$11, 100%, $F$11)</f>
        <v>12.3347</v>
      </c>
      <c r="H512" s="4">
        <f>13.2443 * CHOOSE(CONTROL!$C$15, $D$11, 100%, $F$11)</f>
        <v>13.244300000000001</v>
      </c>
      <c r="I512" s="8">
        <f>12.1784 * CHOOSE(CONTROL!$C$15, $D$11, 100%, $F$11)</f>
        <v>12.1784</v>
      </c>
      <c r="J512" s="4">
        <f>12.1241 * CHOOSE(CONTROL!$C$15, $D$11, 100%, $F$11)</f>
        <v>12.1241</v>
      </c>
      <c r="K512" s="4"/>
      <c r="L512" s="9">
        <v>27.988800000000001</v>
      </c>
      <c r="M512" s="9">
        <v>11.6745</v>
      </c>
      <c r="N512" s="9">
        <v>4.7850000000000001</v>
      </c>
      <c r="O512" s="9">
        <v>0.36249999999999999</v>
      </c>
      <c r="P512" s="9">
        <v>1.1798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CONTROL!$C$32, 13.0004, 12.9952) * CHOOSE(CONTROL!$C$15, $D$11, 100%, $F$11)</f>
        <v>13.000400000000001</v>
      </c>
      <c r="C513" s="8">
        <f>CHOOSE( CONTROL!$C$32, 13.0109, 13.0056) * CHOOSE(CONTROL!$C$15, $D$11, 100%, $F$11)</f>
        <v>13.010899999999999</v>
      </c>
      <c r="D513" s="8">
        <f>CHOOSE( CONTROL!$C$32, 13.0237, 13.0184) * CHOOSE( CONTROL!$C$15, $D$11, 100%, $F$11)</f>
        <v>13.0237</v>
      </c>
      <c r="E513" s="12">
        <f>CHOOSE( CONTROL!$C$32, 13.0175, 13.0122) * CHOOSE( CONTROL!$C$15, $D$11, 100%, $F$11)</f>
        <v>13.0175</v>
      </c>
      <c r="F513" s="4">
        <f>CHOOSE( CONTROL!$C$32, 14.0233, 14.0181) * CHOOSE(CONTROL!$C$15, $D$11, 100%, $F$11)</f>
        <v>14.023300000000001</v>
      </c>
      <c r="G513" s="8">
        <f>CHOOSE( CONTROL!$C$32, 12.674, 12.6689) * CHOOSE( CONTROL!$C$15, $D$11, 100%, $F$11)</f>
        <v>12.673999999999999</v>
      </c>
      <c r="H513" s="4">
        <f>CHOOSE( CONTROL!$C$32, 13.5933, 13.5882) * CHOOSE(CONTROL!$C$15, $D$11, 100%, $F$11)</f>
        <v>13.593299999999999</v>
      </c>
      <c r="I513" s="8">
        <f>CHOOSE( CONTROL!$C$32, 12.512, 12.507) * CHOOSE(CONTROL!$C$15, $D$11, 100%, $F$11)</f>
        <v>12.512</v>
      </c>
      <c r="J513" s="4">
        <f>CHOOSE( CONTROL!$C$32, 12.4522, 12.4472) * CHOOSE(CONTROL!$C$15, $D$11, 100%, $F$11)</f>
        <v>12.452199999999999</v>
      </c>
      <c r="K513" s="4"/>
      <c r="L513" s="9">
        <v>29.520499999999998</v>
      </c>
      <c r="M513" s="9">
        <v>12.063700000000001</v>
      </c>
      <c r="N513" s="9">
        <v>4.9444999999999997</v>
      </c>
      <c r="O513" s="9">
        <v>0.37459999999999999</v>
      </c>
      <c r="P513" s="9">
        <v>1.2192000000000001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CONTROL!$C$32, 12.7916, 12.7863) * CHOOSE(CONTROL!$C$15, $D$11, 100%, $F$11)</f>
        <v>12.791600000000001</v>
      </c>
      <c r="C514" s="8">
        <f>CHOOSE( CONTROL!$C$32, 12.802, 12.7967) * CHOOSE(CONTROL!$C$15, $D$11, 100%, $F$11)</f>
        <v>12.802</v>
      </c>
      <c r="D514" s="8">
        <f>CHOOSE( CONTROL!$C$32, 12.8224, 12.8172) * CHOOSE( CONTROL!$C$15, $D$11, 100%, $F$11)</f>
        <v>12.8224</v>
      </c>
      <c r="E514" s="12">
        <f>CHOOSE( CONTROL!$C$32, 12.8134, 12.8082) * CHOOSE( CONTROL!$C$15, $D$11, 100%, $F$11)</f>
        <v>12.8134</v>
      </c>
      <c r="F514" s="4">
        <f>CHOOSE( CONTROL!$C$32, 13.827, 13.8217) * CHOOSE(CONTROL!$C$15, $D$11, 100%, $F$11)</f>
        <v>13.827</v>
      </c>
      <c r="G514" s="8">
        <f>CHOOSE( CONTROL!$C$32, 12.4743, 12.4692) * CHOOSE( CONTROL!$C$15, $D$11, 100%, $F$11)</f>
        <v>12.474299999999999</v>
      </c>
      <c r="H514" s="4">
        <f>CHOOSE( CONTROL!$C$32, 13.4019, 13.3968) * CHOOSE(CONTROL!$C$15, $D$11, 100%, $F$11)</f>
        <v>13.401899999999999</v>
      </c>
      <c r="I514" s="8">
        <f>CHOOSE( CONTROL!$C$32, 12.317, 12.312) * CHOOSE(CONTROL!$C$15, $D$11, 100%, $F$11)</f>
        <v>12.317</v>
      </c>
      <c r="J514" s="4">
        <f>CHOOSE( CONTROL!$C$32, 12.2521, 12.2471) * CHOOSE(CONTROL!$C$15, $D$11, 100%, $F$11)</f>
        <v>12.2521</v>
      </c>
      <c r="K514" s="4"/>
      <c r="L514" s="9">
        <v>28.568200000000001</v>
      </c>
      <c r="M514" s="9">
        <v>11.6745</v>
      </c>
      <c r="N514" s="9">
        <v>4.7850000000000001</v>
      </c>
      <c r="O514" s="9">
        <v>0.36249999999999999</v>
      </c>
      <c r="P514" s="9">
        <v>1.1798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CONTROL!$C$32, 13.3415, 13.3363) * CHOOSE(CONTROL!$C$15, $D$11, 100%, $F$11)</f>
        <v>13.3415</v>
      </c>
      <c r="C515" s="8">
        <f>CHOOSE( CONTROL!$C$32, 13.352, 13.3467) * CHOOSE(CONTROL!$C$15, $D$11, 100%, $F$11)</f>
        <v>13.352</v>
      </c>
      <c r="D515" s="8">
        <f>CHOOSE( CONTROL!$C$32, 13.3626, 13.3573) * CHOOSE( CONTROL!$C$15, $D$11, 100%, $F$11)</f>
        <v>13.3626</v>
      </c>
      <c r="E515" s="12">
        <f>CHOOSE( CONTROL!$C$32, 13.3572, 13.3519) * CHOOSE( CONTROL!$C$15, $D$11, 100%, $F$11)</f>
        <v>13.357200000000001</v>
      </c>
      <c r="F515" s="4">
        <f>CHOOSE( CONTROL!$C$32, 14.377, 14.3717) * CHOOSE(CONTROL!$C$15, $D$11, 100%, $F$11)</f>
        <v>14.377000000000001</v>
      </c>
      <c r="G515" s="8">
        <f>CHOOSE( CONTROL!$C$32, 12.9972, 12.992) * CHOOSE( CONTROL!$C$15, $D$11, 100%, $F$11)</f>
        <v>12.997199999999999</v>
      </c>
      <c r="H515" s="4">
        <f>CHOOSE( CONTROL!$C$32, 13.938, 13.9329) * CHOOSE(CONTROL!$C$15, $D$11, 100%, $F$11)</f>
        <v>13.938000000000001</v>
      </c>
      <c r="I515" s="8">
        <f>CHOOSE( CONTROL!$C$32, 12.8477, 12.8426) * CHOOSE(CONTROL!$C$15, $D$11, 100%, $F$11)</f>
        <v>12.8477</v>
      </c>
      <c r="J515" s="4">
        <f>CHOOSE( CONTROL!$C$32, 12.7791, 12.7741) * CHOOSE(CONTROL!$C$15, $D$11, 100%, $F$11)</f>
        <v>12.7791</v>
      </c>
      <c r="K515" s="4"/>
      <c r="L515" s="9">
        <v>29.520499999999998</v>
      </c>
      <c r="M515" s="9">
        <v>12.063700000000001</v>
      </c>
      <c r="N515" s="9">
        <v>4.9444999999999997</v>
      </c>
      <c r="O515" s="9">
        <v>0.37459999999999999</v>
      </c>
      <c r="P515" s="9">
        <v>1.2192000000000001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CONTROL!$C$32, 12.3125, 12.3072) * CHOOSE(CONTROL!$C$15, $D$11, 100%, $F$11)</f>
        <v>12.3125</v>
      </c>
      <c r="C516" s="8">
        <f>CHOOSE( CONTROL!$C$32, 12.3229, 12.3176) * CHOOSE(CONTROL!$C$15, $D$11, 100%, $F$11)</f>
        <v>12.322900000000001</v>
      </c>
      <c r="D516" s="8">
        <f>CHOOSE( CONTROL!$C$32, 12.3338, 12.3286) * CHOOSE( CONTROL!$C$15, $D$11, 100%, $F$11)</f>
        <v>12.3338</v>
      </c>
      <c r="E516" s="12">
        <f>CHOOSE( CONTROL!$C$32, 12.3283, 12.323) * CHOOSE( CONTROL!$C$15, $D$11, 100%, $F$11)</f>
        <v>12.3283</v>
      </c>
      <c r="F516" s="4">
        <f>CHOOSE( CONTROL!$C$32, 13.3479, 13.3426) * CHOOSE(CONTROL!$C$15, $D$11, 100%, $F$11)</f>
        <v>13.347899999999999</v>
      </c>
      <c r="G516" s="8">
        <f>CHOOSE( CONTROL!$C$32, 11.9945, 11.9894) * CHOOSE( CONTROL!$C$15, $D$11, 100%, $F$11)</f>
        <v>11.9945</v>
      </c>
      <c r="H516" s="4">
        <f>CHOOSE( CONTROL!$C$32, 12.9349, 12.9298) * CHOOSE(CONTROL!$C$15, $D$11, 100%, $F$11)</f>
        <v>12.934900000000001</v>
      </c>
      <c r="I516" s="8">
        <f>CHOOSE( CONTROL!$C$32, 11.8627, 11.8577) * CHOOSE(CONTROL!$C$15, $D$11, 100%, $F$11)</f>
        <v>11.8627</v>
      </c>
      <c r="J516" s="4">
        <f>CHOOSE( CONTROL!$C$32, 11.7931, 11.788) * CHOOSE(CONTROL!$C$15, $D$11, 100%, $F$11)</f>
        <v>11.793100000000001</v>
      </c>
      <c r="K516" s="4"/>
      <c r="L516" s="9">
        <v>29.520499999999998</v>
      </c>
      <c r="M516" s="9">
        <v>12.063700000000001</v>
      </c>
      <c r="N516" s="9">
        <v>4.9444999999999997</v>
      </c>
      <c r="O516" s="9">
        <v>0.37459999999999999</v>
      </c>
      <c r="P516" s="9">
        <v>1.2192000000000001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CONTROL!$C$32, 12.0548, 12.0495) * CHOOSE(CONTROL!$C$15, $D$11, 100%, $F$11)</f>
        <v>12.0548</v>
      </c>
      <c r="C517" s="8">
        <f>CHOOSE( CONTROL!$C$32, 12.0652, 12.06) * CHOOSE(CONTROL!$C$15, $D$11, 100%, $F$11)</f>
        <v>12.065200000000001</v>
      </c>
      <c r="D517" s="8">
        <f>CHOOSE( CONTROL!$C$32, 12.0763, 12.071) * CHOOSE( CONTROL!$C$15, $D$11, 100%, $F$11)</f>
        <v>12.0763</v>
      </c>
      <c r="E517" s="12">
        <f>CHOOSE( CONTROL!$C$32, 12.0707, 12.0654) * CHOOSE( CONTROL!$C$15, $D$11, 100%, $F$11)</f>
        <v>12.0707</v>
      </c>
      <c r="F517" s="4">
        <f>CHOOSE( CONTROL!$C$32, 13.0902, 13.0849) * CHOOSE(CONTROL!$C$15, $D$11, 100%, $F$11)</f>
        <v>13.090199999999999</v>
      </c>
      <c r="G517" s="8">
        <f>CHOOSE( CONTROL!$C$32, 11.7436, 11.7384) * CHOOSE( CONTROL!$C$15, $D$11, 100%, $F$11)</f>
        <v>11.743600000000001</v>
      </c>
      <c r="H517" s="4">
        <f>CHOOSE( CONTROL!$C$32, 12.6837, 12.6786) * CHOOSE(CONTROL!$C$15, $D$11, 100%, $F$11)</f>
        <v>12.6837</v>
      </c>
      <c r="I517" s="8">
        <f>CHOOSE( CONTROL!$C$32, 11.6164, 11.6113) * CHOOSE(CONTROL!$C$15, $D$11, 100%, $F$11)</f>
        <v>11.616400000000001</v>
      </c>
      <c r="J517" s="4">
        <f>CHOOSE( CONTROL!$C$32, 11.5461, 11.5411) * CHOOSE(CONTROL!$C$15, $D$11, 100%, $F$11)</f>
        <v>11.546099999999999</v>
      </c>
      <c r="K517" s="4"/>
      <c r="L517" s="9">
        <v>28.568200000000001</v>
      </c>
      <c r="M517" s="9">
        <v>11.6745</v>
      </c>
      <c r="N517" s="9">
        <v>4.7850000000000001</v>
      </c>
      <c r="O517" s="9">
        <v>0.36249999999999999</v>
      </c>
      <c r="P517" s="9">
        <v>1.1798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12.5846 * CHOOSE(CONTROL!$C$15, $D$11, 100%, $F$11)</f>
        <v>12.5846</v>
      </c>
      <c r="C518" s="8">
        <f>12.595 * CHOOSE(CONTROL!$C$15, $D$11, 100%, $F$11)</f>
        <v>12.595000000000001</v>
      </c>
      <c r="D518" s="8">
        <f>12.6074 * CHOOSE( CONTROL!$C$15, $D$11, 100%, $F$11)</f>
        <v>12.6074</v>
      </c>
      <c r="E518" s="12">
        <f>12.6022 * CHOOSE( CONTROL!$C$15, $D$11, 100%, $F$11)</f>
        <v>12.6022</v>
      </c>
      <c r="F518" s="4">
        <f>13.62 * CHOOSE(CONTROL!$C$15, $D$11, 100%, $F$11)</f>
        <v>13.62</v>
      </c>
      <c r="G518" s="8">
        <f>12.2594 * CHOOSE( CONTROL!$C$15, $D$11, 100%, $F$11)</f>
        <v>12.259399999999999</v>
      </c>
      <c r="H518" s="4">
        <f>13.2001 * CHOOSE(CONTROL!$C$15, $D$11, 100%, $F$11)</f>
        <v>13.200100000000001</v>
      </c>
      <c r="I518" s="8">
        <f>12.1257 * CHOOSE(CONTROL!$C$15, $D$11, 100%, $F$11)</f>
        <v>12.1257</v>
      </c>
      <c r="J518" s="4">
        <f>12.0538 * CHOOSE(CONTROL!$C$15, $D$11, 100%, $F$11)</f>
        <v>12.053800000000001</v>
      </c>
      <c r="K518" s="4"/>
      <c r="L518" s="9">
        <v>28.921800000000001</v>
      </c>
      <c r="M518" s="9">
        <v>12.063700000000001</v>
      </c>
      <c r="N518" s="9">
        <v>4.9444999999999997</v>
      </c>
      <c r="O518" s="9">
        <v>0.37459999999999999</v>
      </c>
      <c r="P518" s="9">
        <v>1.2192000000000001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13.5722 * CHOOSE(CONTROL!$C$15, $D$11, 100%, $F$11)</f>
        <v>13.5722</v>
      </c>
      <c r="C519" s="8">
        <f>13.5826 * CHOOSE(CONTROL!$C$15, $D$11, 100%, $F$11)</f>
        <v>13.582599999999999</v>
      </c>
      <c r="D519" s="8">
        <f>13.5664 * CHOOSE( CONTROL!$C$15, $D$11, 100%, $F$11)</f>
        <v>13.5664</v>
      </c>
      <c r="E519" s="12">
        <f>13.5712 * CHOOSE( CONTROL!$C$15, $D$11, 100%, $F$11)</f>
        <v>13.571199999999999</v>
      </c>
      <c r="F519" s="4">
        <f>14.5664 * CHOOSE(CONTROL!$C$15, $D$11, 100%, $F$11)</f>
        <v>14.5664</v>
      </c>
      <c r="G519" s="8">
        <f>13.243 * CHOOSE( CONTROL!$C$15, $D$11, 100%, $F$11)</f>
        <v>13.243</v>
      </c>
      <c r="H519" s="4">
        <f>14.1227 * CHOOSE(CONTROL!$C$15, $D$11, 100%, $F$11)</f>
        <v>14.1227</v>
      </c>
      <c r="I519" s="8">
        <f>13.1093 * CHOOSE(CONTROL!$C$15, $D$11, 100%, $F$11)</f>
        <v>13.109299999999999</v>
      </c>
      <c r="J519" s="4">
        <f>13.0001 * CHOOSE(CONTROL!$C$15, $D$11, 100%, $F$11)</f>
        <v>13.0001</v>
      </c>
      <c r="K519" s="4"/>
      <c r="L519" s="9">
        <v>26.515499999999999</v>
      </c>
      <c r="M519" s="9">
        <v>11.6745</v>
      </c>
      <c r="N519" s="9">
        <v>4.7850000000000001</v>
      </c>
      <c r="O519" s="9">
        <v>0.36249999999999999</v>
      </c>
      <c r="P519" s="9">
        <v>1.2522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13.5475 * CHOOSE(CONTROL!$C$15, $D$11, 100%, $F$11)</f>
        <v>13.547499999999999</v>
      </c>
      <c r="C520" s="8">
        <f>13.558 * CHOOSE(CONTROL!$C$15, $D$11, 100%, $F$11)</f>
        <v>13.558</v>
      </c>
      <c r="D520" s="8">
        <f>13.544 * CHOOSE( CONTROL!$C$15, $D$11, 100%, $F$11)</f>
        <v>13.544</v>
      </c>
      <c r="E520" s="12">
        <f>13.548 * CHOOSE( CONTROL!$C$15, $D$11, 100%, $F$11)</f>
        <v>13.548</v>
      </c>
      <c r="F520" s="4">
        <f>14.5417 * CHOOSE(CONTROL!$C$15, $D$11, 100%, $F$11)</f>
        <v>14.541700000000001</v>
      </c>
      <c r="G520" s="8">
        <f>13.2207 * CHOOSE( CONTROL!$C$15, $D$11, 100%, $F$11)</f>
        <v>13.220700000000001</v>
      </c>
      <c r="H520" s="4">
        <f>14.0986 * CHOOSE(CONTROL!$C$15, $D$11, 100%, $F$11)</f>
        <v>14.098599999999999</v>
      </c>
      <c r="I520" s="8">
        <f>13.0933 * CHOOSE(CONTROL!$C$15, $D$11, 100%, $F$11)</f>
        <v>13.093299999999999</v>
      </c>
      <c r="J520" s="4">
        <f>12.9765 * CHOOSE(CONTROL!$C$15, $D$11, 100%, $F$11)</f>
        <v>12.9765</v>
      </c>
      <c r="K520" s="4"/>
      <c r="L520" s="9">
        <v>27.3993</v>
      </c>
      <c r="M520" s="9">
        <v>12.063700000000001</v>
      </c>
      <c r="N520" s="9">
        <v>4.9444999999999997</v>
      </c>
      <c r="O520" s="9">
        <v>0.37459999999999999</v>
      </c>
      <c r="P520" s="9">
        <v>1.2939000000000001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14.0651 * CHOOSE(CONTROL!$C$15, $D$11, 100%, $F$11)</f>
        <v>14.065099999999999</v>
      </c>
      <c r="C521" s="8">
        <f>14.0755 * CHOOSE(CONTROL!$C$15, $D$11, 100%, $F$11)</f>
        <v>14.0755</v>
      </c>
      <c r="D521" s="8">
        <f>14.0749 * CHOOSE( CONTROL!$C$15, $D$11, 100%, $F$11)</f>
        <v>14.0749</v>
      </c>
      <c r="E521" s="12">
        <f>14.074 * CHOOSE( CONTROL!$C$15, $D$11, 100%, $F$11)</f>
        <v>14.074</v>
      </c>
      <c r="F521" s="4">
        <f>15.088 * CHOOSE(CONTROL!$C$15, $D$11, 100%, $F$11)</f>
        <v>15.087999999999999</v>
      </c>
      <c r="G521" s="8">
        <f>13.7388 * CHOOSE( CONTROL!$C$15, $D$11, 100%, $F$11)</f>
        <v>13.738799999999999</v>
      </c>
      <c r="H521" s="4">
        <f>14.6311 * CHOOSE(CONTROL!$C$15, $D$11, 100%, $F$11)</f>
        <v>14.6311</v>
      </c>
      <c r="I521" s="8">
        <f>13.5878 * CHOOSE(CONTROL!$C$15, $D$11, 100%, $F$11)</f>
        <v>13.5878</v>
      </c>
      <c r="J521" s="4">
        <f>13.4724 * CHOOSE(CONTROL!$C$15, $D$11, 100%, $F$11)</f>
        <v>13.4724</v>
      </c>
      <c r="K521" s="4"/>
      <c r="L521" s="9">
        <v>27.3993</v>
      </c>
      <c r="M521" s="9">
        <v>12.063700000000001</v>
      </c>
      <c r="N521" s="9">
        <v>4.9444999999999997</v>
      </c>
      <c r="O521" s="9">
        <v>0.37459999999999999</v>
      </c>
      <c r="P521" s="9">
        <v>1.2939000000000001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13.1561 * CHOOSE(CONTROL!$C$15, $D$11, 100%, $F$11)</f>
        <v>13.1561</v>
      </c>
      <c r="C522" s="8">
        <f>13.1666 * CHOOSE(CONTROL!$C$15, $D$11, 100%, $F$11)</f>
        <v>13.166600000000001</v>
      </c>
      <c r="D522" s="8">
        <f>13.1681 * CHOOSE( CONTROL!$C$15, $D$11, 100%, $F$11)</f>
        <v>13.168100000000001</v>
      </c>
      <c r="E522" s="12">
        <f>13.1664 * CHOOSE( CONTROL!$C$15, $D$11, 100%, $F$11)</f>
        <v>13.166399999999999</v>
      </c>
      <c r="F522" s="4">
        <f>14.1712 * CHOOSE(CONTROL!$C$15, $D$11, 100%, $F$11)</f>
        <v>14.171200000000001</v>
      </c>
      <c r="G522" s="8">
        <f>12.8526 * CHOOSE( CONTROL!$C$15, $D$11, 100%, $F$11)</f>
        <v>12.852600000000001</v>
      </c>
      <c r="H522" s="4">
        <f>13.7375 * CHOOSE(CONTROL!$C$15, $D$11, 100%, $F$11)</f>
        <v>13.737500000000001</v>
      </c>
      <c r="I522" s="8">
        <f>12.7054 * CHOOSE(CONTROL!$C$15, $D$11, 100%, $F$11)</f>
        <v>12.705399999999999</v>
      </c>
      <c r="J522" s="4">
        <f>12.6015 * CHOOSE(CONTROL!$C$15, $D$11, 100%, $F$11)</f>
        <v>12.6015</v>
      </c>
      <c r="K522" s="4"/>
      <c r="L522" s="9">
        <v>24.747800000000002</v>
      </c>
      <c r="M522" s="9">
        <v>10.8962</v>
      </c>
      <c r="N522" s="9">
        <v>4.4660000000000002</v>
      </c>
      <c r="O522" s="9">
        <v>0.33829999999999999</v>
      </c>
      <c r="P522" s="9">
        <v>1.1687000000000001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12.8762 * CHOOSE(CONTROL!$C$15, $D$11, 100%, $F$11)</f>
        <v>12.876200000000001</v>
      </c>
      <c r="C523" s="8">
        <f>12.8866 * CHOOSE(CONTROL!$C$15, $D$11, 100%, $F$11)</f>
        <v>12.8866</v>
      </c>
      <c r="D523" s="8">
        <f>12.8676 * CHOOSE( CONTROL!$C$15, $D$11, 100%, $F$11)</f>
        <v>12.867599999999999</v>
      </c>
      <c r="E523" s="12">
        <f>12.8734 * CHOOSE( CONTROL!$C$15, $D$11, 100%, $F$11)</f>
        <v>12.8734</v>
      </c>
      <c r="F523" s="4">
        <f>13.8751 * CHOOSE(CONTROL!$C$15, $D$11, 100%, $F$11)</f>
        <v>13.8751</v>
      </c>
      <c r="G523" s="8">
        <f>12.5589 * CHOOSE( CONTROL!$C$15, $D$11, 100%, $F$11)</f>
        <v>12.5589</v>
      </c>
      <c r="H523" s="4">
        <f>13.4488 * CHOOSE(CONTROL!$C$15, $D$11, 100%, $F$11)</f>
        <v>13.4488</v>
      </c>
      <c r="I523" s="8">
        <f>12.3975 * CHOOSE(CONTROL!$C$15, $D$11, 100%, $F$11)</f>
        <v>12.397500000000001</v>
      </c>
      <c r="J523" s="4">
        <f>12.3332 * CHOOSE(CONTROL!$C$15, $D$11, 100%, $F$11)</f>
        <v>12.3332</v>
      </c>
      <c r="K523" s="4"/>
      <c r="L523" s="9">
        <v>27.3993</v>
      </c>
      <c r="M523" s="9">
        <v>12.063700000000001</v>
      </c>
      <c r="N523" s="9">
        <v>4.9444999999999997</v>
      </c>
      <c r="O523" s="9">
        <v>0.37459999999999999</v>
      </c>
      <c r="P523" s="9">
        <v>1.2939000000000001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13.0718 * CHOOSE(CONTROL!$C$15, $D$11, 100%, $F$11)</f>
        <v>13.0718</v>
      </c>
      <c r="C524" s="8">
        <f>13.0822 * CHOOSE(CONTROL!$C$15, $D$11, 100%, $F$11)</f>
        <v>13.0822</v>
      </c>
      <c r="D524" s="8">
        <f>13.0863 * CHOOSE( CONTROL!$C$15, $D$11, 100%, $F$11)</f>
        <v>13.0863</v>
      </c>
      <c r="E524" s="12">
        <f>13.0838 * CHOOSE( CONTROL!$C$15, $D$11, 100%, $F$11)</f>
        <v>13.0838</v>
      </c>
      <c r="F524" s="4">
        <f>14.0791 * CHOOSE(CONTROL!$C$15, $D$11, 100%, $F$11)</f>
        <v>14.0791</v>
      </c>
      <c r="G524" s="8">
        <f>12.738 * CHOOSE( CONTROL!$C$15, $D$11, 100%, $F$11)</f>
        <v>12.738</v>
      </c>
      <c r="H524" s="4">
        <f>13.6476 * CHOOSE(CONTROL!$C$15, $D$11, 100%, $F$11)</f>
        <v>13.647600000000001</v>
      </c>
      <c r="I524" s="8">
        <f>12.5752 * CHOOSE(CONTROL!$C$15, $D$11, 100%, $F$11)</f>
        <v>12.575200000000001</v>
      </c>
      <c r="J524" s="4">
        <f>12.5207 * CHOOSE(CONTROL!$C$15, $D$11, 100%, $F$11)</f>
        <v>12.5207</v>
      </c>
      <c r="K524" s="4"/>
      <c r="L524" s="9">
        <v>27.988800000000001</v>
      </c>
      <c r="M524" s="9">
        <v>11.6745</v>
      </c>
      <c r="N524" s="9">
        <v>4.7850000000000001</v>
      </c>
      <c r="O524" s="9">
        <v>0.36249999999999999</v>
      </c>
      <c r="P524" s="9">
        <v>1.1798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CONTROL!$C$32, 13.4252, 13.42) * CHOOSE(CONTROL!$C$15, $D$11, 100%, $F$11)</f>
        <v>13.4252</v>
      </c>
      <c r="C525" s="8">
        <f>CHOOSE( CONTROL!$C$32, 13.4357, 13.4304) * CHOOSE(CONTROL!$C$15, $D$11, 100%, $F$11)</f>
        <v>13.435700000000001</v>
      </c>
      <c r="D525" s="8">
        <f>CHOOSE( CONTROL!$C$32, 13.4485, 13.4433) * CHOOSE( CONTROL!$C$15, $D$11, 100%, $F$11)</f>
        <v>13.448499999999999</v>
      </c>
      <c r="E525" s="12">
        <f>CHOOSE( CONTROL!$C$32, 13.4423, 13.437) * CHOOSE( CONTROL!$C$15, $D$11, 100%, $F$11)</f>
        <v>13.442299999999999</v>
      </c>
      <c r="F525" s="4">
        <f>CHOOSE( CONTROL!$C$32, 14.4482, 14.4429) * CHOOSE(CONTROL!$C$15, $D$11, 100%, $F$11)</f>
        <v>14.4482</v>
      </c>
      <c r="G525" s="8">
        <f>CHOOSE( CONTROL!$C$32, 13.0881, 13.083) * CHOOSE( CONTROL!$C$15, $D$11, 100%, $F$11)</f>
        <v>13.088100000000001</v>
      </c>
      <c r="H525" s="4">
        <f>CHOOSE( CONTROL!$C$32, 14.0074, 14.0023) * CHOOSE(CONTROL!$C$15, $D$11, 100%, $F$11)</f>
        <v>14.007400000000001</v>
      </c>
      <c r="I525" s="8">
        <f>CHOOSE( CONTROL!$C$32, 12.9193, 12.9143) * CHOOSE(CONTROL!$C$15, $D$11, 100%, $F$11)</f>
        <v>12.9193</v>
      </c>
      <c r="J525" s="4">
        <f>CHOOSE( CONTROL!$C$32, 12.8593, 12.8543) * CHOOSE(CONTROL!$C$15, $D$11, 100%, $F$11)</f>
        <v>12.859299999999999</v>
      </c>
      <c r="K525" s="4"/>
      <c r="L525" s="9">
        <v>29.520499999999998</v>
      </c>
      <c r="M525" s="9">
        <v>12.063700000000001</v>
      </c>
      <c r="N525" s="9">
        <v>4.9444999999999997</v>
      </c>
      <c r="O525" s="9">
        <v>0.37459999999999999</v>
      </c>
      <c r="P525" s="9">
        <v>1.2192000000000001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CONTROL!$C$32, 13.2096, 13.2043) * CHOOSE(CONTROL!$C$15, $D$11, 100%, $F$11)</f>
        <v>13.2096</v>
      </c>
      <c r="C526" s="8">
        <f>CHOOSE( CONTROL!$C$32, 13.22, 13.2147) * CHOOSE(CONTROL!$C$15, $D$11, 100%, $F$11)</f>
        <v>13.22</v>
      </c>
      <c r="D526" s="8">
        <f>CHOOSE( CONTROL!$C$32, 13.2404, 13.2352) * CHOOSE( CONTROL!$C$15, $D$11, 100%, $F$11)</f>
        <v>13.240399999999999</v>
      </c>
      <c r="E526" s="12">
        <f>CHOOSE( CONTROL!$C$32, 13.2314, 13.2262) * CHOOSE( CONTROL!$C$15, $D$11, 100%, $F$11)</f>
        <v>13.231400000000001</v>
      </c>
      <c r="F526" s="4">
        <f>CHOOSE( CONTROL!$C$32, 14.245, 14.2397) * CHOOSE(CONTROL!$C$15, $D$11, 100%, $F$11)</f>
        <v>14.244999999999999</v>
      </c>
      <c r="G526" s="8">
        <f>CHOOSE( CONTROL!$C$32, 12.8817, 12.8766) * CHOOSE( CONTROL!$C$15, $D$11, 100%, $F$11)</f>
        <v>12.8817</v>
      </c>
      <c r="H526" s="4">
        <f>CHOOSE( CONTROL!$C$32, 13.8094, 13.8042) * CHOOSE(CONTROL!$C$15, $D$11, 100%, $F$11)</f>
        <v>13.8094</v>
      </c>
      <c r="I526" s="8">
        <f>CHOOSE( CONTROL!$C$32, 12.7177, 12.7127) * CHOOSE(CONTROL!$C$15, $D$11, 100%, $F$11)</f>
        <v>12.717700000000001</v>
      </c>
      <c r="J526" s="4">
        <f>CHOOSE( CONTROL!$C$32, 12.6526, 12.6476) * CHOOSE(CONTROL!$C$15, $D$11, 100%, $F$11)</f>
        <v>12.6526</v>
      </c>
      <c r="K526" s="4"/>
      <c r="L526" s="9">
        <v>28.568200000000001</v>
      </c>
      <c r="M526" s="9">
        <v>11.6745</v>
      </c>
      <c r="N526" s="9">
        <v>4.7850000000000001</v>
      </c>
      <c r="O526" s="9">
        <v>0.36249999999999999</v>
      </c>
      <c r="P526" s="9">
        <v>1.1798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CONTROL!$C$32, 13.7775, 13.7723) * CHOOSE(CONTROL!$C$15, $D$11, 100%, $F$11)</f>
        <v>13.7775</v>
      </c>
      <c r="C527" s="8">
        <f>CHOOSE( CONTROL!$C$32, 13.788, 13.7827) * CHOOSE(CONTROL!$C$15, $D$11, 100%, $F$11)</f>
        <v>13.788</v>
      </c>
      <c r="D527" s="8">
        <f>CHOOSE( CONTROL!$C$32, 13.7986, 13.7933) * CHOOSE( CONTROL!$C$15, $D$11, 100%, $F$11)</f>
        <v>13.7986</v>
      </c>
      <c r="E527" s="12">
        <f>CHOOSE( CONTROL!$C$32, 13.7932, 13.7879) * CHOOSE( CONTROL!$C$15, $D$11, 100%, $F$11)</f>
        <v>13.793200000000001</v>
      </c>
      <c r="F527" s="4">
        <f>CHOOSE( CONTROL!$C$32, 14.813, 14.8077) * CHOOSE(CONTROL!$C$15, $D$11, 100%, $F$11)</f>
        <v>14.813000000000001</v>
      </c>
      <c r="G527" s="8">
        <f>CHOOSE( CONTROL!$C$32, 13.4222, 13.417) * CHOOSE( CONTROL!$C$15, $D$11, 100%, $F$11)</f>
        <v>13.4222</v>
      </c>
      <c r="H527" s="4">
        <f>CHOOSE( CONTROL!$C$32, 14.363, 14.3579) * CHOOSE(CONTROL!$C$15, $D$11, 100%, $F$11)</f>
        <v>14.363</v>
      </c>
      <c r="I527" s="8">
        <f>CHOOSE( CONTROL!$C$32, 13.2656, 13.2606) * CHOOSE(CONTROL!$C$15, $D$11, 100%, $F$11)</f>
        <v>13.265599999999999</v>
      </c>
      <c r="J527" s="4">
        <f>CHOOSE( CONTROL!$C$32, 13.1969, 13.1918) * CHOOSE(CONTROL!$C$15, $D$11, 100%, $F$11)</f>
        <v>13.196899999999999</v>
      </c>
      <c r="K527" s="4"/>
      <c r="L527" s="9">
        <v>29.520499999999998</v>
      </c>
      <c r="M527" s="9">
        <v>12.063700000000001</v>
      </c>
      <c r="N527" s="9">
        <v>4.9444999999999997</v>
      </c>
      <c r="O527" s="9">
        <v>0.37459999999999999</v>
      </c>
      <c r="P527" s="9">
        <v>1.2192000000000001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CONTROL!$C$32, 12.7148, 12.7095) * CHOOSE(CONTROL!$C$15, $D$11, 100%, $F$11)</f>
        <v>12.7148</v>
      </c>
      <c r="C528" s="8">
        <f>CHOOSE( CONTROL!$C$32, 12.7252, 12.72) * CHOOSE(CONTROL!$C$15, $D$11, 100%, $F$11)</f>
        <v>12.725199999999999</v>
      </c>
      <c r="D528" s="8">
        <f>CHOOSE( CONTROL!$C$32, 12.7362, 12.7309) * CHOOSE( CONTROL!$C$15, $D$11, 100%, $F$11)</f>
        <v>12.7362</v>
      </c>
      <c r="E528" s="12">
        <f>CHOOSE( CONTROL!$C$32, 12.7306, 12.7253) * CHOOSE( CONTROL!$C$15, $D$11, 100%, $F$11)</f>
        <v>12.730600000000001</v>
      </c>
      <c r="F528" s="4">
        <f>CHOOSE( CONTROL!$C$32, 13.7502, 13.745) * CHOOSE(CONTROL!$C$15, $D$11, 100%, $F$11)</f>
        <v>13.7502</v>
      </c>
      <c r="G528" s="8">
        <f>CHOOSE( CONTROL!$C$32, 12.3867, 12.3816) * CHOOSE( CONTROL!$C$15, $D$11, 100%, $F$11)</f>
        <v>12.386699999999999</v>
      </c>
      <c r="H528" s="4">
        <f>CHOOSE( CONTROL!$C$32, 13.3271, 13.322) * CHOOSE(CONTROL!$C$15, $D$11, 100%, $F$11)</f>
        <v>13.3271</v>
      </c>
      <c r="I528" s="8">
        <f>CHOOSE( CONTROL!$C$32, 12.2484, 12.2434) * CHOOSE(CONTROL!$C$15, $D$11, 100%, $F$11)</f>
        <v>12.2484</v>
      </c>
      <c r="J528" s="4">
        <f>CHOOSE( CONTROL!$C$32, 12.1786, 12.1735) * CHOOSE(CONTROL!$C$15, $D$11, 100%, $F$11)</f>
        <v>12.178599999999999</v>
      </c>
      <c r="K528" s="4"/>
      <c r="L528" s="9">
        <v>29.520499999999998</v>
      </c>
      <c r="M528" s="9">
        <v>12.063700000000001</v>
      </c>
      <c r="N528" s="9">
        <v>4.9444999999999997</v>
      </c>
      <c r="O528" s="9">
        <v>0.37459999999999999</v>
      </c>
      <c r="P528" s="9">
        <v>1.2192000000000001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CONTROL!$C$32, 12.4487, 12.4434) * CHOOSE(CONTROL!$C$15, $D$11, 100%, $F$11)</f>
        <v>12.448700000000001</v>
      </c>
      <c r="C529" s="8">
        <f>CHOOSE( CONTROL!$C$32, 12.4591, 12.4539) * CHOOSE(CONTROL!$C$15, $D$11, 100%, $F$11)</f>
        <v>12.459099999999999</v>
      </c>
      <c r="D529" s="8">
        <f>CHOOSE( CONTROL!$C$32, 12.4702, 12.4649) * CHOOSE( CONTROL!$C$15, $D$11, 100%, $F$11)</f>
        <v>12.4702</v>
      </c>
      <c r="E529" s="12">
        <f>CHOOSE( CONTROL!$C$32, 12.4646, 12.4593) * CHOOSE( CONTROL!$C$15, $D$11, 100%, $F$11)</f>
        <v>12.464600000000001</v>
      </c>
      <c r="F529" s="4">
        <f>CHOOSE( CONTROL!$C$32, 13.4841, 13.4789) * CHOOSE(CONTROL!$C$15, $D$11, 100%, $F$11)</f>
        <v>13.4841</v>
      </c>
      <c r="G529" s="8">
        <f>CHOOSE( CONTROL!$C$32, 12.1275, 12.1224) * CHOOSE( CONTROL!$C$15, $D$11, 100%, $F$11)</f>
        <v>12.1275</v>
      </c>
      <c r="H529" s="4">
        <f>CHOOSE( CONTROL!$C$32, 13.0677, 13.0626) * CHOOSE(CONTROL!$C$15, $D$11, 100%, $F$11)</f>
        <v>13.0677</v>
      </c>
      <c r="I529" s="8">
        <f>CHOOSE( CONTROL!$C$32, 11.994, 11.9889) * CHOOSE(CONTROL!$C$15, $D$11, 100%, $F$11)</f>
        <v>11.994</v>
      </c>
      <c r="J529" s="4">
        <f>CHOOSE( CONTROL!$C$32, 11.9236, 11.9185) * CHOOSE(CONTROL!$C$15, $D$11, 100%, $F$11)</f>
        <v>11.9236</v>
      </c>
      <c r="K529" s="4"/>
      <c r="L529" s="9">
        <v>28.568200000000001</v>
      </c>
      <c r="M529" s="9">
        <v>11.6745</v>
      </c>
      <c r="N529" s="9">
        <v>4.7850000000000001</v>
      </c>
      <c r="O529" s="9">
        <v>0.36249999999999999</v>
      </c>
      <c r="P529" s="9">
        <v>1.1798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12.996 * CHOOSE(CONTROL!$C$15, $D$11, 100%, $F$11)</f>
        <v>12.996</v>
      </c>
      <c r="C530" s="8">
        <f>13.0064 * CHOOSE(CONTROL!$C$15, $D$11, 100%, $F$11)</f>
        <v>13.006399999999999</v>
      </c>
      <c r="D530" s="8">
        <f>13.0188 * CHOOSE( CONTROL!$C$15, $D$11, 100%, $F$11)</f>
        <v>13.018800000000001</v>
      </c>
      <c r="E530" s="12">
        <f>13.0136 * CHOOSE( CONTROL!$C$15, $D$11, 100%, $F$11)</f>
        <v>13.0136</v>
      </c>
      <c r="F530" s="4">
        <f>14.0314 * CHOOSE(CONTROL!$C$15, $D$11, 100%, $F$11)</f>
        <v>14.0314</v>
      </c>
      <c r="G530" s="8">
        <f>12.6604 * CHOOSE( CONTROL!$C$15, $D$11, 100%, $F$11)</f>
        <v>12.660399999999999</v>
      </c>
      <c r="H530" s="4">
        <f>13.6012 * CHOOSE(CONTROL!$C$15, $D$11, 100%, $F$11)</f>
        <v>13.6012</v>
      </c>
      <c r="I530" s="8">
        <f>12.5201 * CHOOSE(CONTROL!$C$15, $D$11, 100%, $F$11)</f>
        <v>12.520099999999999</v>
      </c>
      <c r="J530" s="4">
        <f>12.448 * CHOOSE(CONTROL!$C$15, $D$11, 100%, $F$11)</f>
        <v>12.448</v>
      </c>
      <c r="K530" s="4"/>
      <c r="L530" s="9">
        <v>28.921800000000001</v>
      </c>
      <c r="M530" s="9">
        <v>12.063700000000001</v>
      </c>
      <c r="N530" s="9">
        <v>4.9444999999999997</v>
      </c>
      <c r="O530" s="9">
        <v>0.37459999999999999</v>
      </c>
      <c r="P530" s="9">
        <v>1.2192000000000001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14.0159 * CHOOSE(CONTROL!$C$15, $D$11, 100%, $F$11)</f>
        <v>14.0159</v>
      </c>
      <c r="C531" s="8">
        <f>14.0263 * CHOOSE(CONTROL!$C$15, $D$11, 100%, $F$11)</f>
        <v>14.026300000000001</v>
      </c>
      <c r="D531" s="8">
        <f>14.0101 * CHOOSE( CONTROL!$C$15, $D$11, 100%, $F$11)</f>
        <v>14.0101</v>
      </c>
      <c r="E531" s="12">
        <f>14.0149 * CHOOSE( CONTROL!$C$15, $D$11, 100%, $F$11)</f>
        <v>14.014900000000001</v>
      </c>
      <c r="F531" s="4">
        <f>15.0101 * CHOOSE(CONTROL!$C$15, $D$11, 100%, $F$11)</f>
        <v>15.0101</v>
      </c>
      <c r="G531" s="8">
        <f>13.6755 * CHOOSE( CONTROL!$C$15, $D$11, 100%, $F$11)</f>
        <v>13.6755</v>
      </c>
      <c r="H531" s="4">
        <f>14.5552 * CHOOSE(CONTROL!$C$15, $D$11, 100%, $F$11)</f>
        <v>14.555199999999999</v>
      </c>
      <c r="I531" s="8">
        <f>13.5347 * CHOOSE(CONTROL!$C$15, $D$11, 100%, $F$11)</f>
        <v>13.534700000000001</v>
      </c>
      <c r="J531" s="4">
        <f>13.4253 * CHOOSE(CONTROL!$C$15, $D$11, 100%, $F$11)</f>
        <v>13.4253</v>
      </c>
      <c r="K531" s="4"/>
      <c r="L531" s="9">
        <v>26.515499999999999</v>
      </c>
      <c r="M531" s="9">
        <v>11.6745</v>
      </c>
      <c r="N531" s="9">
        <v>4.7850000000000001</v>
      </c>
      <c r="O531" s="9">
        <v>0.36249999999999999</v>
      </c>
      <c r="P531" s="9">
        <v>1.2522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13.9904 * CHOOSE(CONTROL!$C$15, $D$11, 100%, $F$11)</f>
        <v>13.990399999999999</v>
      </c>
      <c r="C532" s="8">
        <f>14.0008 * CHOOSE(CONTROL!$C$15, $D$11, 100%, $F$11)</f>
        <v>14.0008</v>
      </c>
      <c r="D532" s="8">
        <f>13.9869 * CHOOSE( CONTROL!$C$15, $D$11, 100%, $F$11)</f>
        <v>13.9869</v>
      </c>
      <c r="E532" s="12">
        <f>13.9909 * CHOOSE( CONTROL!$C$15, $D$11, 100%, $F$11)</f>
        <v>13.9909</v>
      </c>
      <c r="F532" s="4">
        <f>14.9846 * CHOOSE(CONTROL!$C$15, $D$11, 100%, $F$11)</f>
        <v>14.9846</v>
      </c>
      <c r="G532" s="8">
        <f>13.6524 * CHOOSE( CONTROL!$C$15, $D$11, 100%, $F$11)</f>
        <v>13.6524</v>
      </c>
      <c r="H532" s="4">
        <f>14.5303 * CHOOSE(CONTROL!$C$15, $D$11, 100%, $F$11)</f>
        <v>14.5303</v>
      </c>
      <c r="I532" s="8">
        <f>13.5179 * CHOOSE(CONTROL!$C$15, $D$11, 100%, $F$11)</f>
        <v>13.517899999999999</v>
      </c>
      <c r="J532" s="4">
        <f>13.4009 * CHOOSE(CONTROL!$C$15, $D$11, 100%, $F$11)</f>
        <v>13.4009</v>
      </c>
      <c r="K532" s="4"/>
      <c r="L532" s="9">
        <v>27.3993</v>
      </c>
      <c r="M532" s="9">
        <v>12.063700000000001</v>
      </c>
      <c r="N532" s="9">
        <v>4.9444999999999997</v>
      </c>
      <c r="O532" s="9">
        <v>0.37459999999999999</v>
      </c>
      <c r="P532" s="9">
        <v>1.2939000000000001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14.5249 * CHOOSE(CONTROL!$C$15, $D$11, 100%, $F$11)</f>
        <v>14.524900000000001</v>
      </c>
      <c r="C533" s="8">
        <f>14.5354 * CHOOSE(CONTROL!$C$15, $D$11, 100%, $F$11)</f>
        <v>14.535399999999999</v>
      </c>
      <c r="D533" s="8">
        <f>14.5347 * CHOOSE( CONTROL!$C$15, $D$11, 100%, $F$11)</f>
        <v>14.534700000000001</v>
      </c>
      <c r="E533" s="12">
        <f>14.5338 * CHOOSE( CONTROL!$C$15, $D$11, 100%, $F$11)</f>
        <v>14.533799999999999</v>
      </c>
      <c r="F533" s="4">
        <f>15.5478 * CHOOSE(CONTROL!$C$15, $D$11, 100%, $F$11)</f>
        <v>15.547800000000001</v>
      </c>
      <c r="G533" s="8">
        <f>14.187 * CHOOSE( CONTROL!$C$15, $D$11, 100%, $F$11)</f>
        <v>14.186999999999999</v>
      </c>
      <c r="H533" s="4">
        <f>15.0793 * CHOOSE(CONTROL!$C$15, $D$11, 100%, $F$11)</f>
        <v>15.0793</v>
      </c>
      <c r="I533" s="8">
        <f>14.0286 * CHOOSE(CONTROL!$C$15, $D$11, 100%, $F$11)</f>
        <v>14.028600000000001</v>
      </c>
      <c r="J533" s="4">
        <f>13.913 * CHOOSE(CONTROL!$C$15, $D$11, 100%, $F$11)</f>
        <v>13.913</v>
      </c>
      <c r="K533" s="4"/>
      <c r="L533" s="9">
        <v>27.3993</v>
      </c>
      <c r="M533" s="9">
        <v>12.063700000000001</v>
      </c>
      <c r="N533" s="9">
        <v>4.9444999999999997</v>
      </c>
      <c r="O533" s="9">
        <v>0.37459999999999999</v>
      </c>
      <c r="P533" s="9">
        <v>1.2939000000000001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13.5862 * CHOOSE(CONTROL!$C$15, $D$11, 100%, $F$11)</f>
        <v>13.5862</v>
      </c>
      <c r="C534" s="8">
        <f>13.5967 * CHOOSE(CONTROL!$C$15, $D$11, 100%, $F$11)</f>
        <v>13.5967</v>
      </c>
      <c r="D534" s="8">
        <f>13.5982 * CHOOSE( CONTROL!$C$15, $D$11, 100%, $F$11)</f>
        <v>13.5982</v>
      </c>
      <c r="E534" s="12">
        <f>13.5965 * CHOOSE( CONTROL!$C$15, $D$11, 100%, $F$11)</f>
        <v>13.596500000000001</v>
      </c>
      <c r="F534" s="4">
        <f>14.6013 * CHOOSE(CONTROL!$C$15, $D$11, 100%, $F$11)</f>
        <v>14.6013</v>
      </c>
      <c r="G534" s="8">
        <f>13.2718 * CHOOSE( CONTROL!$C$15, $D$11, 100%, $F$11)</f>
        <v>13.271800000000001</v>
      </c>
      <c r="H534" s="4">
        <f>14.1567 * CHOOSE(CONTROL!$C$15, $D$11, 100%, $F$11)</f>
        <v>14.156700000000001</v>
      </c>
      <c r="I534" s="8">
        <f>13.1177 * CHOOSE(CONTROL!$C$15, $D$11, 100%, $F$11)</f>
        <v>13.117699999999999</v>
      </c>
      <c r="J534" s="4">
        <f>13.0136 * CHOOSE(CONTROL!$C$15, $D$11, 100%, $F$11)</f>
        <v>13.0136</v>
      </c>
      <c r="K534" s="4"/>
      <c r="L534" s="9">
        <v>24.747800000000002</v>
      </c>
      <c r="M534" s="9">
        <v>10.8962</v>
      </c>
      <c r="N534" s="9">
        <v>4.4660000000000002</v>
      </c>
      <c r="O534" s="9">
        <v>0.33829999999999999</v>
      </c>
      <c r="P534" s="9">
        <v>1.1687000000000001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13.2971 * CHOOSE(CONTROL!$C$15, $D$11, 100%, $F$11)</f>
        <v>13.2971</v>
      </c>
      <c r="C535" s="8">
        <f>13.3076 * CHOOSE(CONTROL!$C$15, $D$11, 100%, $F$11)</f>
        <v>13.307600000000001</v>
      </c>
      <c r="D535" s="8">
        <f>13.2886 * CHOOSE( CONTROL!$C$15, $D$11, 100%, $F$11)</f>
        <v>13.288600000000001</v>
      </c>
      <c r="E535" s="12">
        <f>13.2944 * CHOOSE( CONTROL!$C$15, $D$11, 100%, $F$11)</f>
        <v>13.2944</v>
      </c>
      <c r="F535" s="4">
        <f>14.296 * CHOOSE(CONTROL!$C$15, $D$11, 100%, $F$11)</f>
        <v>14.295999999999999</v>
      </c>
      <c r="G535" s="8">
        <f>12.9693 * CHOOSE( CONTROL!$C$15, $D$11, 100%, $F$11)</f>
        <v>12.9693</v>
      </c>
      <c r="H535" s="4">
        <f>13.8591 * CHOOSE(CONTROL!$C$15, $D$11, 100%, $F$11)</f>
        <v>13.8591</v>
      </c>
      <c r="I535" s="8">
        <f>12.8011 * CHOOSE(CONTROL!$C$15, $D$11, 100%, $F$11)</f>
        <v>12.8011</v>
      </c>
      <c r="J535" s="4">
        <f>12.7365 * CHOOSE(CONTROL!$C$15, $D$11, 100%, $F$11)</f>
        <v>12.736499999999999</v>
      </c>
      <c r="K535" s="4"/>
      <c r="L535" s="9">
        <v>27.3993</v>
      </c>
      <c r="M535" s="9">
        <v>12.063700000000001</v>
      </c>
      <c r="N535" s="9">
        <v>4.9444999999999997</v>
      </c>
      <c r="O535" s="9">
        <v>0.37459999999999999</v>
      </c>
      <c r="P535" s="9">
        <v>1.2939000000000001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13.4991 * CHOOSE(CONTROL!$C$15, $D$11, 100%, $F$11)</f>
        <v>13.4991</v>
      </c>
      <c r="C536" s="8">
        <f>13.5096 * CHOOSE(CONTROL!$C$15, $D$11, 100%, $F$11)</f>
        <v>13.509600000000001</v>
      </c>
      <c r="D536" s="8">
        <f>13.5136 * CHOOSE( CONTROL!$C$15, $D$11, 100%, $F$11)</f>
        <v>13.5136</v>
      </c>
      <c r="E536" s="12">
        <f>13.5111 * CHOOSE( CONTROL!$C$15, $D$11, 100%, $F$11)</f>
        <v>13.511100000000001</v>
      </c>
      <c r="F536" s="4">
        <f>14.5064 * CHOOSE(CONTROL!$C$15, $D$11, 100%, $F$11)</f>
        <v>14.506399999999999</v>
      </c>
      <c r="G536" s="8">
        <f>13.1546 * CHOOSE( CONTROL!$C$15, $D$11, 100%, $F$11)</f>
        <v>13.1546</v>
      </c>
      <c r="H536" s="4">
        <f>14.0642 * CHOOSE(CONTROL!$C$15, $D$11, 100%, $F$11)</f>
        <v>14.0642</v>
      </c>
      <c r="I536" s="8">
        <f>12.9848 * CHOOSE(CONTROL!$C$15, $D$11, 100%, $F$11)</f>
        <v>12.9848</v>
      </c>
      <c r="J536" s="4">
        <f>12.9301 * CHOOSE(CONTROL!$C$15, $D$11, 100%, $F$11)</f>
        <v>12.930099999999999</v>
      </c>
      <c r="K536" s="4"/>
      <c r="L536" s="9">
        <v>27.988800000000001</v>
      </c>
      <c r="M536" s="9">
        <v>11.6745</v>
      </c>
      <c r="N536" s="9">
        <v>4.7850000000000001</v>
      </c>
      <c r="O536" s="9">
        <v>0.36249999999999999</v>
      </c>
      <c r="P536" s="9">
        <v>1.1798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CONTROL!$C$32, 13.864, 13.8587) * CHOOSE(CONTROL!$C$15, $D$11, 100%, $F$11)</f>
        <v>13.864000000000001</v>
      </c>
      <c r="C537" s="8">
        <f>CHOOSE( CONTROL!$C$32, 13.8744, 13.8691) * CHOOSE(CONTROL!$C$15, $D$11, 100%, $F$11)</f>
        <v>13.8744</v>
      </c>
      <c r="D537" s="8">
        <f>CHOOSE( CONTROL!$C$32, 13.8872, 13.882) * CHOOSE( CONTROL!$C$15, $D$11, 100%, $F$11)</f>
        <v>13.8872</v>
      </c>
      <c r="E537" s="12">
        <f>CHOOSE( CONTROL!$C$32, 13.881, 13.8757) * CHOOSE( CONTROL!$C$15, $D$11, 100%, $F$11)</f>
        <v>13.881</v>
      </c>
      <c r="F537" s="4">
        <f>CHOOSE( CONTROL!$C$32, 14.8869, 14.8816) * CHOOSE(CONTROL!$C$15, $D$11, 100%, $F$11)</f>
        <v>14.886900000000001</v>
      </c>
      <c r="G537" s="8">
        <f>CHOOSE( CONTROL!$C$32, 13.5158, 13.5107) * CHOOSE( CONTROL!$C$15, $D$11, 100%, $F$11)</f>
        <v>13.5158</v>
      </c>
      <c r="H537" s="4">
        <f>CHOOSE( CONTROL!$C$32, 14.4351, 14.4299) * CHOOSE(CONTROL!$C$15, $D$11, 100%, $F$11)</f>
        <v>14.4351</v>
      </c>
      <c r="I537" s="8">
        <f>CHOOSE( CONTROL!$C$32, 13.3399, 13.3348) * CHOOSE(CONTROL!$C$15, $D$11, 100%, $F$11)</f>
        <v>13.3399</v>
      </c>
      <c r="J537" s="4">
        <f>CHOOSE( CONTROL!$C$32, 13.2797, 13.2747) * CHOOSE(CONTROL!$C$15, $D$11, 100%, $F$11)</f>
        <v>13.2797</v>
      </c>
      <c r="K537" s="4"/>
      <c r="L537" s="9">
        <v>29.520499999999998</v>
      </c>
      <c r="M537" s="9">
        <v>12.063700000000001</v>
      </c>
      <c r="N537" s="9">
        <v>4.9444999999999997</v>
      </c>
      <c r="O537" s="9">
        <v>0.37459999999999999</v>
      </c>
      <c r="P537" s="9">
        <v>1.2192000000000001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CONTROL!$C$32, 13.6412, 13.636) * CHOOSE(CONTROL!$C$15, $D$11, 100%, $F$11)</f>
        <v>13.6412</v>
      </c>
      <c r="C538" s="8">
        <f>CHOOSE( CONTROL!$C$32, 13.6517, 13.6464) * CHOOSE(CONTROL!$C$15, $D$11, 100%, $F$11)</f>
        <v>13.6517</v>
      </c>
      <c r="D538" s="8">
        <f>CHOOSE( CONTROL!$C$32, 13.6721, 13.6668) * CHOOSE( CONTROL!$C$15, $D$11, 100%, $F$11)</f>
        <v>13.6721</v>
      </c>
      <c r="E538" s="12">
        <f>CHOOSE( CONTROL!$C$32, 13.6631, 13.6578) * CHOOSE( CONTROL!$C$15, $D$11, 100%, $F$11)</f>
        <v>13.6631</v>
      </c>
      <c r="F538" s="4">
        <f>CHOOSE( CONTROL!$C$32, 14.6767, 14.6714) * CHOOSE(CONTROL!$C$15, $D$11, 100%, $F$11)</f>
        <v>14.6767</v>
      </c>
      <c r="G538" s="8">
        <f>CHOOSE( CONTROL!$C$32, 13.3025, 13.2974) * CHOOSE( CONTROL!$C$15, $D$11, 100%, $F$11)</f>
        <v>13.3025</v>
      </c>
      <c r="H538" s="4">
        <f>CHOOSE( CONTROL!$C$32, 14.2301, 14.225) * CHOOSE(CONTROL!$C$15, $D$11, 100%, $F$11)</f>
        <v>14.2301</v>
      </c>
      <c r="I538" s="8">
        <f>CHOOSE( CONTROL!$C$32, 13.1316, 13.1265) * CHOOSE(CONTROL!$C$15, $D$11, 100%, $F$11)</f>
        <v>13.131600000000001</v>
      </c>
      <c r="J538" s="4">
        <f>CHOOSE( CONTROL!$C$32, 13.0663, 13.0612) * CHOOSE(CONTROL!$C$15, $D$11, 100%, $F$11)</f>
        <v>13.0663</v>
      </c>
      <c r="K538" s="4"/>
      <c r="L538" s="9">
        <v>28.568200000000001</v>
      </c>
      <c r="M538" s="9">
        <v>11.6745</v>
      </c>
      <c r="N538" s="9">
        <v>4.7850000000000001</v>
      </c>
      <c r="O538" s="9">
        <v>0.36249999999999999</v>
      </c>
      <c r="P538" s="9">
        <v>1.1798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CONTROL!$C$32, 14.2278, 14.2225) * CHOOSE(CONTROL!$C$15, $D$11, 100%, $F$11)</f>
        <v>14.2278</v>
      </c>
      <c r="C539" s="8">
        <f>CHOOSE( CONTROL!$C$32, 14.2382, 14.233) * CHOOSE(CONTROL!$C$15, $D$11, 100%, $F$11)</f>
        <v>14.238200000000001</v>
      </c>
      <c r="D539" s="8">
        <f>CHOOSE( CONTROL!$C$32, 14.2488, 14.2436) * CHOOSE( CONTROL!$C$15, $D$11, 100%, $F$11)</f>
        <v>14.248799999999999</v>
      </c>
      <c r="E539" s="12">
        <f>CHOOSE( CONTROL!$C$32, 14.2434, 14.2382) * CHOOSE( CONTROL!$C$15, $D$11, 100%, $F$11)</f>
        <v>14.243399999999999</v>
      </c>
      <c r="F539" s="4">
        <f>CHOOSE( CONTROL!$C$32, 15.2632, 15.2579) * CHOOSE(CONTROL!$C$15, $D$11, 100%, $F$11)</f>
        <v>15.263199999999999</v>
      </c>
      <c r="G539" s="8">
        <f>CHOOSE( CONTROL!$C$32, 13.861, 13.8559) * CHOOSE( CONTROL!$C$15, $D$11, 100%, $F$11)</f>
        <v>13.861000000000001</v>
      </c>
      <c r="H539" s="4">
        <f>CHOOSE( CONTROL!$C$32, 14.8019, 14.7968) * CHOOSE(CONTROL!$C$15, $D$11, 100%, $F$11)</f>
        <v>14.8019</v>
      </c>
      <c r="I539" s="8">
        <f>CHOOSE( CONTROL!$C$32, 13.6973, 13.6922) * CHOOSE(CONTROL!$C$15, $D$11, 100%, $F$11)</f>
        <v>13.6973</v>
      </c>
      <c r="J539" s="4">
        <f>CHOOSE( CONTROL!$C$32, 13.6283, 13.6233) * CHOOSE(CONTROL!$C$15, $D$11, 100%, $F$11)</f>
        <v>13.628299999999999</v>
      </c>
      <c r="K539" s="4"/>
      <c r="L539" s="9">
        <v>29.520499999999998</v>
      </c>
      <c r="M539" s="9">
        <v>12.063700000000001</v>
      </c>
      <c r="N539" s="9">
        <v>4.9444999999999997</v>
      </c>
      <c r="O539" s="9">
        <v>0.37459999999999999</v>
      </c>
      <c r="P539" s="9">
        <v>1.2192000000000001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CONTROL!$C$32, 13.1303, 13.125) * CHOOSE(CONTROL!$C$15, $D$11, 100%, $F$11)</f>
        <v>13.1303</v>
      </c>
      <c r="C540" s="8">
        <f>CHOOSE( CONTROL!$C$32, 13.1407, 13.1355) * CHOOSE(CONTROL!$C$15, $D$11, 100%, $F$11)</f>
        <v>13.140700000000001</v>
      </c>
      <c r="D540" s="8">
        <f>CHOOSE( CONTROL!$C$32, 13.1517, 13.1464) * CHOOSE( CONTROL!$C$15, $D$11, 100%, $F$11)</f>
        <v>13.1517</v>
      </c>
      <c r="E540" s="12">
        <f>CHOOSE( CONTROL!$C$32, 13.1461, 13.1408) * CHOOSE( CONTROL!$C$15, $D$11, 100%, $F$11)</f>
        <v>13.146100000000001</v>
      </c>
      <c r="F540" s="4">
        <f>CHOOSE( CONTROL!$C$32, 14.1657, 14.1605) * CHOOSE(CONTROL!$C$15, $D$11, 100%, $F$11)</f>
        <v>14.165699999999999</v>
      </c>
      <c r="G540" s="8">
        <f>CHOOSE( CONTROL!$C$32, 12.7917, 12.7866) * CHOOSE( CONTROL!$C$15, $D$11, 100%, $F$11)</f>
        <v>12.791700000000001</v>
      </c>
      <c r="H540" s="4">
        <f>CHOOSE( CONTROL!$C$32, 13.7321, 13.727) * CHOOSE(CONTROL!$C$15, $D$11, 100%, $F$11)</f>
        <v>13.732100000000001</v>
      </c>
      <c r="I540" s="8">
        <f>CHOOSE( CONTROL!$C$32, 12.6467, 12.6417) * CHOOSE(CONTROL!$C$15, $D$11, 100%, $F$11)</f>
        <v>12.646699999999999</v>
      </c>
      <c r="J540" s="4">
        <f>CHOOSE( CONTROL!$C$32, 12.5767, 12.5716) * CHOOSE(CONTROL!$C$15, $D$11, 100%, $F$11)</f>
        <v>12.576700000000001</v>
      </c>
      <c r="K540" s="4"/>
      <c r="L540" s="9">
        <v>29.520499999999998</v>
      </c>
      <c r="M540" s="9">
        <v>12.063700000000001</v>
      </c>
      <c r="N540" s="9">
        <v>4.9444999999999997</v>
      </c>
      <c r="O540" s="9">
        <v>0.37459999999999999</v>
      </c>
      <c r="P540" s="9">
        <v>1.2192000000000001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CONTROL!$C$32, 12.8555, 12.8502) * CHOOSE(CONTROL!$C$15, $D$11, 100%, $F$11)</f>
        <v>12.855499999999999</v>
      </c>
      <c r="C541" s="8">
        <f>CHOOSE( CONTROL!$C$32, 12.8659, 12.8606) * CHOOSE(CONTROL!$C$15, $D$11, 100%, $F$11)</f>
        <v>12.8659</v>
      </c>
      <c r="D541" s="8">
        <f>CHOOSE( CONTROL!$C$32, 12.877, 12.8717) * CHOOSE( CONTROL!$C$15, $D$11, 100%, $F$11)</f>
        <v>12.877000000000001</v>
      </c>
      <c r="E541" s="12">
        <f>CHOOSE( CONTROL!$C$32, 12.8714, 12.8661) * CHOOSE( CONTROL!$C$15, $D$11, 100%, $F$11)</f>
        <v>12.8714</v>
      </c>
      <c r="F541" s="4">
        <f>CHOOSE( CONTROL!$C$32, 13.8909, 13.8856) * CHOOSE(CONTROL!$C$15, $D$11, 100%, $F$11)</f>
        <v>13.8909</v>
      </c>
      <c r="G541" s="8">
        <f>CHOOSE( CONTROL!$C$32, 12.524, 12.5189) * CHOOSE( CONTROL!$C$15, $D$11, 100%, $F$11)</f>
        <v>12.523999999999999</v>
      </c>
      <c r="H541" s="4">
        <f>CHOOSE( CONTROL!$C$32, 13.4642, 13.4591) * CHOOSE(CONTROL!$C$15, $D$11, 100%, $F$11)</f>
        <v>13.4642</v>
      </c>
      <c r="I541" s="8">
        <f>CHOOSE( CONTROL!$C$32, 12.384, 12.3789) * CHOOSE(CONTROL!$C$15, $D$11, 100%, $F$11)</f>
        <v>12.384</v>
      </c>
      <c r="J541" s="4">
        <f>CHOOSE( CONTROL!$C$32, 12.3133, 12.3083) * CHOOSE(CONTROL!$C$15, $D$11, 100%, $F$11)</f>
        <v>12.3133</v>
      </c>
      <c r="K541" s="4"/>
      <c r="L541" s="9">
        <v>28.568200000000001</v>
      </c>
      <c r="M541" s="9">
        <v>11.6745</v>
      </c>
      <c r="N541" s="9">
        <v>4.7850000000000001</v>
      </c>
      <c r="O541" s="9">
        <v>0.36249999999999999</v>
      </c>
      <c r="P541" s="9">
        <v>1.1798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13.4208 * CHOOSE(CONTROL!$C$15, $D$11, 100%, $F$11)</f>
        <v>13.4208</v>
      </c>
      <c r="C542" s="8">
        <f>13.4313 * CHOOSE(CONTROL!$C$15, $D$11, 100%, $F$11)</f>
        <v>13.4313</v>
      </c>
      <c r="D542" s="8">
        <f>13.4436 * CHOOSE( CONTROL!$C$15, $D$11, 100%, $F$11)</f>
        <v>13.4436</v>
      </c>
      <c r="E542" s="12">
        <f>13.4384 * CHOOSE( CONTROL!$C$15, $D$11, 100%, $F$11)</f>
        <v>13.4384</v>
      </c>
      <c r="F542" s="4">
        <f>14.4563 * CHOOSE(CONTROL!$C$15, $D$11, 100%, $F$11)</f>
        <v>14.456300000000001</v>
      </c>
      <c r="G542" s="8">
        <f>13.0745 * CHOOSE( CONTROL!$C$15, $D$11, 100%, $F$11)</f>
        <v>13.0745</v>
      </c>
      <c r="H542" s="4">
        <f>14.0153 * CHOOSE(CONTROL!$C$15, $D$11, 100%, $F$11)</f>
        <v>14.0153</v>
      </c>
      <c r="I542" s="8">
        <f>12.9274 * CHOOSE(CONTROL!$C$15, $D$11, 100%, $F$11)</f>
        <v>12.9274</v>
      </c>
      <c r="J542" s="4">
        <f>12.8551 * CHOOSE(CONTROL!$C$15, $D$11, 100%, $F$11)</f>
        <v>12.8551</v>
      </c>
      <c r="K542" s="4"/>
      <c r="L542" s="9">
        <v>28.921800000000001</v>
      </c>
      <c r="M542" s="9">
        <v>12.063700000000001</v>
      </c>
      <c r="N542" s="9">
        <v>4.9444999999999997</v>
      </c>
      <c r="O542" s="9">
        <v>0.37459999999999999</v>
      </c>
      <c r="P542" s="9">
        <v>1.2192000000000001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14.4741 * CHOOSE(CONTROL!$C$15, $D$11, 100%, $F$11)</f>
        <v>14.4741</v>
      </c>
      <c r="C543" s="8">
        <f>14.4845 * CHOOSE(CONTROL!$C$15, $D$11, 100%, $F$11)</f>
        <v>14.484500000000001</v>
      </c>
      <c r="D543" s="8">
        <f>14.4683 * CHOOSE( CONTROL!$C$15, $D$11, 100%, $F$11)</f>
        <v>14.468299999999999</v>
      </c>
      <c r="E543" s="12">
        <f>14.4731 * CHOOSE( CONTROL!$C$15, $D$11, 100%, $F$11)</f>
        <v>14.473100000000001</v>
      </c>
      <c r="F543" s="4">
        <f>15.4683 * CHOOSE(CONTROL!$C$15, $D$11, 100%, $F$11)</f>
        <v>15.468299999999999</v>
      </c>
      <c r="G543" s="8">
        <f>14.1222 * CHOOSE( CONTROL!$C$15, $D$11, 100%, $F$11)</f>
        <v>14.122199999999999</v>
      </c>
      <c r="H543" s="4">
        <f>15.0018 * CHOOSE(CONTROL!$C$15, $D$11, 100%, $F$11)</f>
        <v>15.001799999999999</v>
      </c>
      <c r="I543" s="8">
        <f>13.974 * CHOOSE(CONTROL!$C$15, $D$11, 100%, $F$11)</f>
        <v>13.974</v>
      </c>
      <c r="J543" s="4">
        <f>13.8643 * CHOOSE(CONTROL!$C$15, $D$11, 100%, $F$11)</f>
        <v>13.8643</v>
      </c>
      <c r="K543" s="4"/>
      <c r="L543" s="9">
        <v>26.515499999999999</v>
      </c>
      <c r="M543" s="9">
        <v>11.6745</v>
      </c>
      <c r="N543" s="9">
        <v>4.7850000000000001</v>
      </c>
      <c r="O543" s="9">
        <v>0.36249999999999999</v>
      </c>
      <c r="P543" s="9">
        <v>1.2522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14.4478 * CHOOSE(CONTROL!$C$15, $D$11, 100%, $F$11)</f>
        <v>14.447800000000001</v>
      </c>
      <c r="C544" s="8">
        <f>14.4582 * CHOOSE(CONTROL!$C$15, $D$11, 100%, $F$11)</f>
        <v>14.4582</v>
      </c>
      <c r="D544" s="8">
        <f>14.4443 * CHOOSE( CONTROL!$C$15, $D$11, 100%, $F$11)</f>
        <v>14.4443</v>
      </c>
      <c r="E544" s="12">
        <f>14.4483 * CHOOSE( CONTROL!$C$15, $D$11, 100%, $F$11)</f>
        <v>14.4483</v>
      </c>
      <c r="F544" s="4">
        <f>15.442 * CHOOSE(CONTROL!$C$15, $D$11, 100%, $F$11)</f>
        <v>15.442</v>
      </c>
      <c r="G544" s="8">
        <f>14.0983 * CHOOSE( CONTROL!$C$15, $D$11, 100%, $F$11)</f>
        <v>14.0983</v>
      </c>
      <c r="H544" s="4">
        <f>14.9762 * CHOOSE(CONTROL!$C$15, $D$11, 100%, $F$11)</f>
        <v>14.9762</v>
      </c>
      <c r="I544" s="8">
        <f>13.9563 * CHOOSE(CONTROL!$C$15, $D$11, 100%, $F$11)</f>
        <v>13.956300000000001</v>
      </c>
      <c r="J544" s="4">
        <f>13.8391 * CHOOSE(CONTROL!$C$15, $D$11, 100%, $F$11)</f>
        <v>13.8391</v>
      </c>
      <c r="K544" s="4"/>
      <c r="L544" s="9">
        <v>27.3993</v>
      </c>
      <c r="M544" s="9">
        <v>12.063700000000001</v>
      </c>
      <c r="N544" s="9">
        <v>4.9444999999999997</v>
      </c>
      <c r="O544" s="9">
        <v>0.37459999999999999</v>
      </c>
      <c r="P544" s="9">
        <v>1.2939000000000001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14.9998 * CHOOSE(CONTROL!$C$15, $D$11, 100%, $F$11)</f>
        <v>14.9998</v>
      </c>
      <c r="C545" s="8">
        <f>15.0102 * CHOOSE(CONTROL!$C$15, $D$11, 100%, $F$11)</f>
        <v>15.010199999999999</v>
      </c>
      <c r="D545" s="8">
        <f>15.0095 * CHOOSE( CONTROL!$C$15, $D$11, 100%, $F$11)</f>
        <v>15.009499999999999</v>
      </c>
      <c r="E545" s="12">
        <f>15.0086 * CHOOSE( CONTROL!$C$15, $D$11, 100%, $F$11)</f>
        <v>15.008599999999999</v>
      </c>
      <c r="F545" s="4">
        <f>16.0227 * CHOOSE(CONTROL!$C$15, $D$11, 100%, $F$11)</f>
        <v>16.0227</v>
      </c>
      <c r="G545" s="8">
        <f>14.6499 * CHOOSE( CONTROL!$C$15, $D$11, 100%, $F$11)</f>
        <v>14.649900000000001</v>
      </c>
      <c r="H545" s="4">
        <f>15.5422 * CHOOSE(CONTROL!$C$15, $D$11, 100%, $F$11)</f>
        <v>15.542199999999999</v>
      </c>
      <c r="I545" s="8">
        <f>14.4838 * CHOOSE(CONTROL!$C$15, $D$11, 100%, $F$11)</f>
        <v>14.4838</v>
      </c>
      <c r="J545" s="4">
        <f>14.368 * CHOOSE(CONTROL!$C$15, $D$11, 100%, $F$11)</f>
        <v>14.368</v>
      </c>
      <c r="K545" s="4"/>
      <c r="L545" s="9">
        <v>27.3993</v>
      </c>
      <c r="M545" s="9">
        <v>12.063700000000001</v>
      </c>
      <c r="N545" s="9">
        <v>4.9444999999999997</v>
      </c>
      <c r="O545" s="9">
        <v>0.37459999999999999</v>
      </c>
      <c r="P545" s="9">
        <v>1.2939000000000001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14.0304 * CHOOSE(CONTROL!$C$15, $D$11, 100%, $F$11)</f>
        <v>14.0304</v>
      </c>
      <c r="C546" s="8">
        <f>14.0408 * CHOOSE(CONTROL!$C$15, $D$11, 100%, $F$11)</f>
        <v>14.040800000000001</v>
      </c>
      <c r="D546" s="8">
        <f>14.0423 * CHOOSE( CONTROL!$C$15, $D$11, 100%, $F$11)</f>
        <v>14.042299999999999</v>
      </c>
      <c r="E546" s="12">
        <f>14.0406 * CHOOSE( CONTROL!$C$15, $D$11, 100%, $F$11)</f>
        <v>14.0406</v>
      </c>
      <c r="F546" s="4">
        <f>15.0455 * CHOOSE(CONTROL!$C$15, $D$11, 100%, $F$11)</f>
        <v>15.045500000000001</v>
      </c>
      <c r="G546" s="8">
        <f>13.7048 * CHOOSE( CONTROL!$C$15, $D$11, 100%, $F$11)</f>
        <v>13.704800000000001</v>
      </c>
      <c r="H546" s="4">
        <f>14.5896 * CHOOSE(CONTROL!$C$15, $D$11, 100%, $F$11)</f>
        <v>14.589600000000001</v>
      </c>
      <c r="I546" s="8">
        <f>13.5435 * CHOOSE(CONTROL!$C$15, $D$11, 100%, $F$11)</f>
        <v>13.5435</v>
      </c>
      <c r="J546" s="4">
        <f>13.4392 * CHOOSE(CONTROL!$C$15, $D$11, 100%, $F$11)</f>
        <v>13.4392</v>
      </c>
      <c r="K546" s="4"/>
      <c r="L546" s="9">
        <v>25.631599999999999</v>
      </c>
      <c r="M546" s="9">
        <v>11.285299999999999</v>
      </c>
      <c r="N546" s="9">
        <v>4.6254999999999997</v>
      </c>
      <c r="O546" s="9">
        <v>0.35039999999999999</v>
      </c>
      <c r="P546" s="9">
        <v>1.2104999999999999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13.7318 * CHOOSE(CONTROL!$C$15, $D$11, 100%, $F$11)</f>
        <v>13.7318</v>
      </c>
      <c r="C547" s="8">
        <f>13.7423 * CHOOSE(CONTROL!$C$15, $D$11, 100%, $F$11)</f>
        <v>13.7423</v>
      </c>
      <c r="D547" s="8">
        <f>13.7233 * CHOOSE( CONTROL!$C$15, $D$11, 100%, $F$11)</f>
        <v>13.7233</v>
      </c>
      <c r="E547" s="12">
        <f>13.7291 * CHOOSE( CONTROL!$C$15, $D$11, 100%, $F$11)</f>
        <v>13.729100000000001</v>
      </c>
      <c r="F547" s="4">
        <f>14.7307 * CHOOSE(CONTROL!$C$15, $D$11, 100%, $F$11)</f>
        <v>14.730700000000001</v>
      </c>
      <c r="G547" s="8">
        <f>13.393 * CHOOSE( CONTROL!$C$15, $D$11, 100%, $F$11)</f>
        <v>13.393000000000001</v>
      </c>
      <c r="H547" s="4">
        <f>14.2828 * CHOOSE(CONTROL!$C$15, $D$11, 100%, $F$11)</f>
        <v>14.2828</v>
      </c>
      <c r="I547" s="8">
        <f>13.2178 * CHOOSE(CONTROL!$C$15, $D$11, 100%, $F$11)</f>
        <v>13.2178</v>
      </c>
      <c r="J547" s="4">
        <f>13.1531 * CHOOSE(CONTROL!$C$15, $D$11, 100%, $F$11)</f>
        <v>13.1531</v>
      </c>
      <c r="K547" s="4"/>
      <c r="L547" s="9">
        <v>27.3993</v>
      </c>
      <c r="M547" s="9">
        <v>12.063700000000001</v>
      </c>
      <c r="N547" s="9">
        <v>4.9444999999999997</v>
      </c>
      <c r="O547" s="9">
        <v>0.37459999999999999</v>
      </c>
      <c r="P547" s="9">
        <v>1.2939000000000001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13.9405 * CHOOSE(CONTROL!$C$15, $D$11, 100%, $F$11)</f>
        <v>13.9405</v>
      </c>
      <c r="C548" s="8">
        <f>13.9509 * CHOOSE(CONTROL!$C$15, $D$11, 100%, $F$11)</f>
        <v>13.950900000000001</v>
      </c>
      <c r="D548" s="8">
        <f>13.9549 * CHOOSE( CONTROL!$C$15, $D$11, 100%, $F$11)</f>
        <v>13.9549</v>
      </c>
      <c r="E548" s="12">
        <f>13.9524 * CHOOSE( CONTROL!$C$15, $D$11, 100%, $F$11)</f>
        <v>13.952400000000001</v>
      </c>
      <c r="F548" s="4">
        <f>14.9477 * CHOOSE(CONTROL!$C$15, $D$11, 100%, $F$11)</f>
        <v>14.947699999999999</v>
      </c>
      <c r="G548" s="8">
        <f>13.5847 * CHOOSE( CONTROL!$C$15, $D$11, 100%, $F$11)</f>
        <v>13.5847</v>
      </c>
      <c r="H548" s="4">
        <f>14.4944 * CHOOSE(CONTROL!$C$15, $D$11, 100%, $F$11)</f>
        <v>14.494400000000001</v>
      </c>
      <c r="I548" s="8">
        <f>13.4079 * CHOOSE(CONTROL!$C$15, $D$11, 100%, $F$11)</f>
        <v>13.4079</v>
      </c>
      <c r="J548" s="4">
        <f>13.353 * CHOOSE(CONTROL!$C$15, $D$11, 100%, $F$11)</f>
        <v>13.353</v>
      </c>
      <c r="K548" s="4"/>
      <c r="L548" s="9">
        <v>27.988800000000001</v>
      </c>
      <c r="M548" s="9">
        <v>11.6745</v>
      </c>
      <c r="N548" s="9">
        <v>4.7850000000000001</v>
      </c>
      <c r="O548" s="9">
        <v>0.36249999999999999</v>
      </c>
      <c r="P548" s="9">
        <v>1.1798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CONTROL!$C$32, 14.317, 14.3118) * CHOOSE(CONTROL!$C$15, $D$11, 100%, $F$11)</f>
        <v>14.317</v>
      </c>
      <c r="C549" s="8">
        <f>CHOOSE( CONTROL!$C$32, 14.3275, 14.3222) * CHOOSE(CONTROL!$C$15, $D$11, 100%, $F$11)</f>
        <v>14.327500000000001</v>
      </c>
      <c r="D549" s="8">
        <f>CHOOSE( CONTROL!$C$32, 14.3403, 14.335) * CHOOSE( CONTROL!$C$15, $D$11, 100%, $F$11)</f>
        <v>14.340299999999999</v>
      </c>
      <c r="E549" s="12">
        <f>CHOOSE( CONTROL!$C$32, 14.3341, 14.3288) * CHOOSE( CONTROL!$C$15, $D$11, 100%, $F$11)</f>
        <v>14.334099999999999</v>
      </c>
      <c r="F549" s="4">
        <f>CHOOSE( CONTROL!$C$32, 15.3399, 15.3347) * CHOOSE(CONTROL!$C$15, $D$11, 100%, $F$11)</f>
        <v>15.3399</v>
      </c>
      <c r="G549" s="8">
        <f>CHOOSE( CONTROL!$C$32, 13.9574, 13.9523) * CHOOSE( CONTROL!$C$15, $D$11, 100%, $F$11)</f>
        <v>13.9574</v>
      </c>
      <c r="H549" s="4">
        <f>CHOOSE( CONTROL!$C$32, 14.8767, 14.8716) * CHOOSE(CONTROL!$C$15, $D$11, 100%, $F$11)</f>
        <v>14.8767</v>
      </c>
      <c r="I549" s="8">
        <f>CHOOSE( CONTROL!$C$32, 13.7742, 13.7692) * CHOOSE(CONTROL!$C$15, $D$11, 100%, $F$11)</f>
        <v>13.7742</v>
      </c>
      <c r="J549" s="4">
        <f>CHOOSE( CONTROL!$C$32, 13.7138, 13.7088) * CHOOSE(CONTROL!$C$15, $D$11, 100%, $F$11)</f>
        <v>13.713800000000001</v>
      </c>
      <c r="K549" s="4"/>
      <c r="L549" s="9">
        <v>29.520499999999998</v>
      </c>
      <c r="M549" s="9">
        <v>12.063700000000001</v>
      </c>
      <c r="N549" s="9">
        <v>4.9444999999999997</v>
      </c>
      <c r="O549" s="9">
        <v>0.37459999999999999</v>
      </c>
      <c r="P549" s="9">
        <v>1.2192000000000001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CONTROL!$C$32, 14.087, 14.0818) * CHOOSE(CONTROL!$C$15, $D$11, 100%, $F$11)</f>
        <v>14.087</v>
      </c>
      <c r="C550" s="8">
        <f>CHOOSE( CONTROL!$C$32, 14.0974, 14.0922) * CHOOSE(CONTROL!$C$15, $D$11, 100%, $F$11)</f>
        <v>14.0974</v>
      </c>
      <c r="D550" s="8">
        <f>CHOOSE( CONTROL!$C$32, 14.1179, 14.1126) * CHOOSE( CONTROL!$C$15, $D$11, 100%, $F$11)</f>
        <v>14.117900000000001</v>
      </c>
      <c r="E550" s="12">
        <f>CHOOSE( CONTROL!$C$32, 14.1089, 14.1036) * CHOOSE( CONTROL!$C$15, $D$11, 100%, $F$11)</f>
        <v>14.1089</v>
      </c>
      <c r="F550" s="4">
        <f>CHOOSE( CONTROL!$C$32, 15.1224, 15.1172) * CHOOSE(CONTROL!$C$15, $D$11, 100%, $F$11)</f>
        <v>15.122400000000001</v>
      </c>
      <c r="G550" s="8">
        <f>CHOOSE( CONTROL!$C$32, 13.7371, 13.7319) * CHOOSE( CONTROL!$C$15, $D$11, 100%, $F$11)</f>
        <v>13.7371</v>
      </c>
      <c r="H550" s="4">
        <f>CHOOSE( CONTROL!$C$32, 14.6647, 14.6596) * CHOOSE(CONTROL!$C$15, $D$11, 100%, $F$11)</f>
        <v>14.6647</v>
      </c>
      <c r="I550" s="8">
        <f>CHOOSE( CONTROL!$C$32, 13.5589, 13.5539) * CHOOSE(CONTROL!$C$15, $D$11, 100%, $F$11)</f>
        <v>13.5589</v>
      </c>
      <c r="J550" s="4">
        <f>CHOOSE( CONTROL!$C$32, 13.4934, 13.4884) * CHOOSE(CONTROL!$C$15, $D$11, 100%, $F$11)</f>
        <v>13.493399999999999</v>
      </c>
      <c r="K550" s="4"/>
      <c r="L550" s="9">
        <v>28.568200000000001</v>
      </c>
      <c r="M550" s="9">
        <v>11.6745</v>
      </c>
      <c r="N550" s="9">
        <v>4.7850000000000001</v>
      </c>
      <c r="O550" s="9">
        <v>0.36249999999999999</v>
      </c>
      <c r="P550" s="9">
        <v>1.1798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CONTROL!$C$32, 14.6927, 14.6875) * CHOOSE(CONTROL!$C$15, $D$11, 100%, $F$11)</f>
        <v>14.6927</v>
      </c>
      <c r="C551" s="8">
        <f>CHOOSE( CONTROL!$C$32, 14.7032, 14.6979) * CHOOSE(CONTROL!$C$15, $D$11, 100%, $F$11)</f>
        <v>14.703200000000001</v>
      </c>
      <c r="D551" s="8">
        <f>CHOOSE( CONTROL!$C$32, 14.7138, 14.7085) * CHOOSE( CONTROL!$C$15, $D$11, 100%, $F$11)</f>
        <v>14.713800000000001</v>
      </c>
      <c r="E551" s="12">
        <f>CHOOSE( CONTROL!$C$32, 14.7084, 14.7031) * CHOOSE( CONTROL!$C$15, $D$11, 100%, $F$11)</f>
        <v>14.708399999999999</v>
      </c>
      <c r="F551" s="4">
        <f>CHOOSE( CONTROL!$C$32, 15.7282, 15.7229) * CHOOSE(CONTROL!$C$15, $D$11, 100%, $F$11)</f>
        <v>15.728199999999999</v>
      </c>
      <c r="G551" s="8">
        <f>CHOOSE( CONTROL!$C$32, 14.3143, 14.3091) * CHOOSE( CONTROL!$C$15, $D$11, 100%, $F$11)</f>
        <v>14.314299999999999</v>
      </c>
      <c r="H551" s="4">
        <f>CHOOSE( CONTROL!$C$32, 15.2551, 15.25) * CHOOSE(CONTROL!$C$15, $D$11, 100%, $F$11)</f>
        <v>15.255100000000001</v>
      </c>
      <c r="I551" s="8">
        <f>CHOOSE( CONTROL!$C$32, 14.143, 14.138) * CHOOSE(CONTROL!$C$15, $D$11, 100%, $F$11)</f>
        <v>14.143000000000001</v>
      </c>
      <c r="J551" s="4">
        <f>CHOOSE( CONTROL!$C$32, 14.0738, 14.0688) * CHOOSE(CONTROL!$C$15, $D$11, 100%, $F$11)</f>
        <v>14.0738</v>
      </c>
      <c r="K551" s="4"/>
      <c r="L551" s="9">
        <v>29.520499999999998</v>
      </c>
      <c r="M551" s="9">
        <v>12.063700000000001</v>
      </c>
      <c r="N551" s="9">
        <v>4.9444999999999997</v>
      </c>
      <c r="O551" s="9">
        <v>0.37459999999999999</v>
      </c>
      <c r="P551" s="9">
        <v>1.2192000000000001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CONTROL!$C$32, 13.5594, 13.5541) * CHOOSE(CONTROL!$C$15, $D$11, 100%, $F$11)</f>
        <v>13.5594</v>
      </c>
      <c r="C552" s="8">
        <f>CHOOSE( CONTROL!$C$32, 13.5698, 13.5645) * CHOOSE(CONTROL!$C$15, $D$11, 100%, $F$11)</f>
        <v>13.569800000000001</v>
      </c>
      <c r="D552" s="8">
        <f>CHOOSE( CONTROL!$C$32, 13.5807, 13.5755) * CHOOSE( CONTROL!$C$15, $D$11, 100%, $F$11)</f>
        <v>13.5807</v>
      </c>
      <c r="E552" s="12">
        <f>CHOOSE( CONTROL!$C$32, 13.5752, 13.5699) * CHOOSE( CONTROL!$C$15, $D$11, 100%, $F$11)</f>
        <v>13.575200000000001</v>
      </c>
      <c r="F552" s="4">
        <f>CHOOSE( CONTROL!$C$32, 14.5948, 14.5895) * CHOOSE(CONTROL!$C$15, $D$11, 100%, $F$11)</f>
        <v>14.594799999999999</v>
      </c>
      <c r="G552" s="8">
        <f>CHOOSE( CONTROL!$C$32, 13.21, 13.2048) * CHOOSE( CONTROL!$C$15, $D$11, 100%, $F$11)</f>
        <v>13.21</v>
      </c>
      <c r="H552" s="4">
        <f>CHOOSE( CONTROL!$C$32, 14.1503, 14.1452) * CHOOSE(CONTROL!$C$15, $D$11, 100%, $F$11)</f>
        <v>14.1503</v>
      </c>
      <c r="I552" s="8">
        <f>CHOOSE( CONTROL!$C$32, 13.0581, 13.053) * CHOOSE(CONTROL!$C$15, $D$11, 100%, $F$11)</f>
        <v>13.0581</v>
      </c>
      <c r="J552" s="4">
        <f>CHOOSE( CONTROL!$C$32, 12.9878, 12.9828) * CHOOSE(CONTROL!$C$15, $D$11, 100%, $F$11)</f>
        <v>12.9878</v>
      </c>
      <c r="K552" s="4"/>
      <c r="L552" s="9">
        <v>29.520499999999998</v>
      </c>
      <c r="M552" s="9">
        <v>12.063700000000001</v>
      </c>
      <c r="N552" s="9">
        <v>4.9444999999999997</v>
      </c>
      <c r="O552" s="9">
        <v>0.37459999999999999</v>
      </c>
      <c r="P552" s="9">
        <v>1.2192000000000001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CONTROL!$C$32, 13.2755, 13.2703) * CHOOSE(CONTROL!$C$15, $D$11, 100%, $F$11)</f>
        <v>13.275499999999999</v>
      </c>
      <c r="C553" s="8">
        <f>CHOOSE( CONTROL!$C$32, 13.286, 13.2807) * CHOOSE(CONTROL!$C$15, $D$11, 100%, $F$11)</f>
        <v>13.286</v>
      </c>
      <c r="D553" s="8">
        <f>CHOOSE( CONTROL!$C$32, 13.2971, 13.2918) * CHOOSE( CONTROL!$C$15, $D$11, 100%, $F$11)</f>
        <v>13.2971</v>
      </c>
      <c r="E553" s="12">
        <f>CHOOSE( CONTROL!$C$32, 13.2915, 13.2862) * CHOOSE( CONTROL!$C$15, $D$11, 100%, $F$11)</f>
        <v>13.291499999999999</v>
      </c>
      <c r="F553" s="4">
        <f>CHOOSE( CONTROL!$C$32, 14.311, 14.3057) * CHOOSE(CONTROL!$C$15, $D$11, 100%, $F$11)</f>
        <v>14.311</v>
      </c>
      <c r="G553" s="8">
        <f>CHOOSE( CONTROL!$C$32, 12.9335, 12.9284) * CHOOSE( CONTROL!$C$15, $D$11, 100%, $F$11)</f>
        <v>12.9335</v>
      </c>
      <c r="H553" s="4">
        <f>CHOOSE( CONTROL!$C$32, 13.8737, 13.8686) * CHOOSE(CONTROL!$C$15, $D$11, 100%, $F$11)</f>
        <v>13.873699999999999</v>
      </c>
      <c r="I553" s="8">
        <f>CHOOSE( CONTROL!$C$32, 12.7867, 12.7817) * CHOOSE(CONTROL!$C$15, $D$11, 100%, $F$11)</f>
        <v>12.7867</v>
      </c>
      <c r="J553" s="4">
        <f>CHOOSE( CONTROL!$C$32, 12.7159, 12.7108) * CHOOSE(CONTROL!$C$15, $D$11, 100%, $F$11)</f>
        <v>12.7159</v>
      </c>
      <c r="K553" s="4"/>
      <c r="L553" s="9">
        <v>28.568200000000001</v>
      </c>
      <c r="M553" s="9">
        <v>11.6745</v>
      </c>
      <c r="N553" s="9">
        <v>4.7850000000000001</v>
      </c>
      <c r="O553" s="9">
        <v>0.36249999999999999</v>
      </c>
      <c r="P553" s="9">
        <v>1.1798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13.8596 * CHOOSE(CONTROL!$C$15, $D$11, 100%, $F$11)</f>
        <v>13.8596</v>
      </c>
      <c r="C554" s="8">
        <f>13.87 * CHOOSE(CONTROL!$C$15, $D$11, 100%, $F$11)</f>
        <v>13.87</v>
      </c>
      <c r="D554" s="8">
        <f>13.8824 * CHOOSE( CONTROL!$C$15, $D$11, 100%, $F$11)</f>
        <v>13.882400000000001</v>
      </c>
      <c r="E554" s="12">
        <f>13.8772 * CHOOSE( CONTROL!$C$15, $D$11, 100%, $F$11)</f>
        <v>13.8772</v>
      </c>
      <c r="F554" s="4">
        <f>14.895 * CHOOSE(CONTROL!$C$15, $D$11, 100%, $F$11)</f>
        <v>14.895</v>
      </c>
      <c r="G554" s="8">
        <f>13.5022 * CHOOSE( CONTROL!$C$15, $D$11, 100%, $F$11)</f>
        <v>13.5022</v>
      </c>
      <c r="H554" s="4">
        <f>14.443 * CHOOSE(CONTROL!$C$15, $D$11, 100%, $F$11)</f>
        <v>14.443</v>
      </c>
      <c r="I554" s="8">
        <f>13.348 * CHOOSE(CONTROL!$C$15, $D$11, 100%, $F$11)</f>
        <v>13.348000000000001</v>
      </c>
      <c r="J554" s="4">
        <f>13.2755 * CHOOSE(CONTROL!$C$15, $D$11, 100%, $F$11)</f>
        <v>13.275499999999999</v>
      </c>
      <c r="K554" s="4"/>
      <c r="L554" s="9">
        <v>28.921800000000001</v>
      </c>
      <c r="M554" s="9">
        <v>12.063700000000001</v>
      </c>
      <c r="N554" s="9">
        <v>4.9444999999999997</v>
      </c>
      <c r="O554" s="9">
        <v>0.37459999999999999</v>
      </c>
      <c r="P554" s="9">
        <v>1.2192000000000001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14.9473 * CHOOSE(CONTROL!$C$15, $D$11, 100%, $F$11)</f>
        <v>14.9473</v>
      </c>
      <c r="C555" s="8">
        <f>14.9577 * CHOOSE(CONTROL!$C$15, $D$11, 100%, $F$11)</f>
        <v>14.957700000000001</v>
      </c>
      <c r="D555" s="8">
        <f>14.9415 * CHOOSE( CONTROL!$C$15, $D$11, 100%, $F$11)</f>
        <v>14.9415</v>
      </c>
      <c r="E555" s="12">
        <f>14.9463 * CHOOSE( CONTROL!$C$15, $D$11, 100%, $F$11)</f>
        <v>14.946300000000001</v>
      </c>
      <c r="F555" s="4">
        <f>15.9415 * CHOOSE(CONTROL!$C$15, $D$11, 100%, $F$11)</f>
        <v>15.9415</v>
      </c>
      <c r="G555" s="8">
        <f>14.5834 * CHOOSE( CONTROL!$C$15, $D$11, 100%, $F$11)</f>
        <v>14.583399999999999</v>
      </c>
      <c r="H555" s="4">
        <f>15.4631 * CHOOSE(CONTROL!$C$15, $D$11, 100%, $F$11)</f>
        <v>15.463100000000001</v>
      </c>
      <c r="I555" s="8">
        <f>14.4276 * CHOOSE(CONTROL!$C$15, $D$11, 100%, $F$11)</f>
        <v>14.4276</v>
      </c>
      <c r="J555" s="4">
        <f>14.3177 * CHOOSE(CONTROL!$C$15, $D$11, 100%, $F$11)</f>
        <v>14.3177</v>
      </c>
      <c r="K555" s="4"/>
      <c r="L555" s="9">
        <v>26.515499999999999</v>
      </c>
      <c r="M555" s="9">
        <v>11.6745</v>
      </c>
      <c r="N555" s="9">
        <v>4.7850000000000001</v>
      </c>
      <c r="O555" s="9">
        <v>0.36249999999999999</v>
      </c>
      <c r="P555" s="9">
        <v>1.2522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14.9201 * CHOOSE(CONTROL!$C$15, $D$11, 100%, $F$11)</f>
        <v>14.9201</v>
      </c>
      <c r="C556" s="8">
        <f>14.9306 * CHOOSE(CONTROL!$C$15, $D$11, 100%, $F$11)</f>
        <v>14.9306</v>
      </c>
      <c r="D556" s="8">
        <f>14.9166 * CHOOSE( CONTROL!$C$15, $D$11, 100%, $F$11)</f>
        <v>14.916600000000001</v>
      </c>
      <c r="E556" s="12">
        <f>14.9206 * CHOOSE( CONTROL!$C$15, $D$11, 100%, $F$11)</f>
        <v>14.9206</v>
      </c>
      <c r="F556" s="4">
        <f>15.9143 * CHOOSE(CONTROL!$C$15, $D$11, 100%, $F$11)</f>
        <v>15.914300000000001</v>
      </c>
      <c r="G556" s="8">
        <f>14.5587 * CHOOSE( CONTROL!$C$15, $D$11, 100%, $F$11)</f>
        <v>14.5587</v>
      </c>
      <c r="H556" s="4">
        <f>15.4366 * CHOOSE(CONTROL!$C$15, $D$11, 100%, $F$11)</f>
        <v>15.4366</v>
      </c>
      <c r="I556" s="8">
        <f>14.4092 * CHOOSE(CONTROL!$C$15, $D$11, 100%, $F$11)</f>
        <v>14.4092</v>
      </c>
      <c r="J556" s="4">
        <f>14.2917 * CHOOSE(CONTROL!$C$15, $D$11, 100%, $F$11)</f>
        <v>14.291700000000001</v>
      </c>
      <c r="K556" s="4"/>
      <c r="L556" s="9">
        <v>27.3993</v>
      </c>
      <c r="M556" s="9">
        <v>12.063700000000001</v>
      </c>
      <c r="N556" s="9">
        <v>4.9444999999999997</v>
      </c>
      <c r="O556" s="9">
        <v>0.37459999999999999</v>
      </c>
      <c r="P556" s="9">
        <v>1.2939000000000001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15.4902 * CHOOSE(CONTROL!$C$15, $D$11, 100%, $F$11)</f>
        <v>15.4902</v>
      </c>
      <c r="C557" s="8">
        <f>15.5006 * CHOOSE(CONTROL!$C$15, $D$11, 100%, $F$11)</f>
        <v>15.5006</v>
      </c>
      <c r="D557" s="8">
        <f>15.4999 * CHOOSE( CONTROL!$C$15, $D$11, 100%, $F$11)</f>
        <v>15.4999</v>
      </c>
      <c r="E557" s="12">
        <f>15.499 * CHOOSE( CONTROL!$C$15, $D$11, 100%, $F$11)</f>
        <v>15.499000000000001</v>
      </c>
      <c r="F557" s="4">
        <f>16.5131 * CHOOSE(CONTROL!$C$15, $D$11, 100%, $F$11)</f>
        <v>16.513100000000001</v>
      </c>
      <c r="G557" s="8">
        <f>15.1279 * CHOOSE( CONTROL!$C$15, $D$11, 100%, $F$11)</f>
        <v>15.1279</v>
      </c>
      <c r="H557" s="4">
        <f>16.0202 * CHOOSE(CONTROL!$C$15, $D$11, 100%, $F$11)</f>
        <v>16.020199999999999</v>
      </c>
      <c r="I557" s="8">
        <f>14.9539 * CHOOSE(CONTROL!$C$15, $D$11, 100%, $F$11)</f>
        <v>14.953900000000001</v>
      </c>
      <c r="J557" s="4">
        <f>14.8379 * CHOOSE(CONTROL!$C$15, $D$11, 100%, $F$11)</f>
        <v>14.837899999999999</v>
      </c>
      <c r="K557" s="4"/>
      <c r="L557" s="9">
        <v>27.3993</v>
      </c>
      <c r="M557" s="9">
        <v>12.063700000000001</v>
      </c>
      <c r="N557" s="9">
        <v>4.9444999999999997</v>
      </c>
      <c r="O557" s="9">
        <v>0.37459999999999999</v>
      </c>
      <c r="P557" s="9">
        <v>1.2939000000000001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14.4891 * CHOOSE(CONTROL!$C$15, $D$11, 100%, $F$11)</f>
        <v>14.489100000000001</v>
      </c>
      <c r="C558" s="8">
        <f>14.4995 * CHOOSE(CONTROL!$C$15, $D$11, 100%, $F$11)</f>
        <v>14.499499999999999</v>
      </c>
      <c r="D558" s="8">
        <f>14.501 * CHOOSE( CONTROL!$C$15, $D$11, 100%, $F$11)</f>
        <v>14.500999999999999</v>
      </c>
      <c r="E558" s="12">
        <f>14.4993 * CHOOSE( CONTROL!$C$15, $D$11, 100%, $F$11)</f>
        <v>14.4993</v>
      </c>
      <c r="F558" s="4">
        <f>15.5042 * CHOOSE(CONTROL!$C$15, $D$11, 100%, $F$11)</f>
        <v>15.504200000000001</v>
      </c>
      <c r="G558" s="8">
        <f>14.1519 * CHOOSE( CONTROL!$C$15, $D$11, 100%, $F$11)</f>
        <v>14.151899999999999</v>
      </c>
      <c r="H558" s="4">
        <f>15.0368 * CHOOSE(CONTROL!$C$15, $D$11, 100%, $F$11)</f>
        <v>15.036799999999999</v>
      </c>
      <c r="I558" s="8">
        <f>13.9833 * CHOOSE(CONTROL!$C$15, $D$11, 100%, $F$11)</f>
        <v>13.9833</v>
      </c>
      <c r="J558" s="4">
        <f>13.8787 * CHOOSE(CONTROL!$C$15, $D$11, 100%, $F$11)</f>
        <v>13.8787</v>
      </c>
      <c r="K558" s="4"/>
      <c r="L558" s="9">
        <v>24.747800000000002</v>
      </c>
      <c r="M558" s="9">
        <v>10.8962</v>
      </c>
      <c r="N558" s="9">
        <v>4.4660000000000002</v>
      </c>
      <c r="O558" s="9">
        <v>0.33829999999999999</v>
      </c>
      <c r="P558" s="9">
        <v>1.1687000000000001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14.1807 * CHOOSE(CONTROL!$C$15, $D$11, 100%, $F$11)</f>
        <v>14.1807</v>
      </c>
      <c r="C559" s="8">
        <f>14.1912 * CHOOSE(CONTROL!$C$15, $D$11, 100%, $F$11)</f>
        <v>14.1912</v>
      </c>
      <c r="D559" s="8">
        <f>14.1722 * CHOOSE( CONTROL!$C$15, $D$11, 100%, $F$11)</f>
        <v>14.1722</v>
      </c>
      <c r="E559" s="12">
        <f>14.178 * CHOOSE( CONTROL!$C$15, $D$11, 100%, $F$11)</f>
        <v>14.178000000000001</v>
      </c>
      <c r="F559" s="4">
        <f>15.1796 * CHOOSE(CONTROL!$C$15, $D$11, 100%, $F$11)</f>
        <v>15.179600000000001</v>
      </c>
      <c r="G559" s="8">
        <f>13.8306 * CHOOSE( CONTROL!$C$15, $D$11, 100%, $F$11)</f>
        <v>13.8306</v>
      </c>
      <c r="H559" s="4">
        <f>14.7204 * CHOOSE(CONTROL!$C$15, $D$11, 100%, $F$11)</f>
        <v>14.7204</v>
      </c>
      <c r="I559" s="8">
        <f>13.6482 * CHOOSE(CONTROL!$C$15, $D$11, 100%, $F$11)</f>
        <v>13.648199999999999</v>
      </c>
      <c r="J559" s="4">
        <f>13.5832 * CHOOSE(CONTROL!$C$15, $D$11, 100%, $F$11)</f>
        <v>13.5832</v>
      </c>
      <c r="K559" s="4"/>
      <c r="L559" s="9">
        <v>27.3993</v>
      </c>
      <c r="M559" s="9">
        <v>12.063700000000001</v>
      </c>
      <c r="N559" s="9">
        <v>4.9444999999999997</v>
      </c>
      <c r="O559" s="9">
        <v>0.37459999999999999</v>
      </c>
      <c r="P559" s="9">
        <v>1.2939000000000001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14.3962 * CHOOSE(CONTROL!$C$15, $D$11, 100%, $F$11)</f>
        <v>14.3962</v>
      </c>
      <c r="C560" s="8">
        <f>14.4066 * CHOOSE(CONTROL!$C$15, $D$11, 100%, $F$11)</f>
        <v>14.406599999999999</v>
      </c>
      <c r="D560" s="8">
        <f>14.4107 * CHOOSE( CONTROL!$C$15, $D$11, 100%, $F$11)</f>
        <v>14.4107</v>
      </c>
      <c r="E560" s="12">
        <f>14.4082 * CHOOSE( CONTROL!$C$15, $D$11, 100%, $F$11)</f>
        <v>14.408200000000001</v>
      </c>
      <c r="F560" s="4">
        <f>15.4035 * CHOOSE(CONTROL!$C$15, $D$11, 100%, $F$11)</f>
        <v>15.403499999999999</v>
      </c>
      <c r="G560" s="8">
        <f>14.029 * CHOOSE( CONTROL!$C$15, $D$11, 100%, $F$11)</f>
        <v>14.029</v>
      </c>
      <c r="H560" s="4">
        <f>14.9386 * CHOOSE(CONTROL!$C$15, $D$11, 100%, $F$11)</f>
        <v>14.938599999999999</v>
      </c>
      <c r="I560" s="8">
        <f>13.8448 * CHOOSE(CONTROL!$C$15, $D$11, 100%, $F$11)</f>
        <v>13.844799999999999</v>
      </c>
      <c r="J560" s="4">
        <f>13.7897 * CHOOSE(CONTROL!$C$15, $D$11, 100%, $F$11)</f>
        <v>13.7897</v>
      </c>
      <c r="K560" s="4"/>
      <c r="L560" s="9">
        <v>27.988800000000001</v>
      </c>
      <c r="M560" s="9">
        <v>11.6745</v>
      </c>
      <c r="N560" s="9">
        <v>4.7850000000000001</v>
      </c>
      <c r="O560" s="9">
        <v>0.36249999999999999</v>
      </c>
      <c r="P560" s="9">
        <v>1.1798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CONTROL!$C$32, 14.7849, 14.7797) * CHOOSE(CONTROL!$C$15, $D$11, 100%, $F$11)</f>
        <v>14.7849</v>
      </c>
      <c r="C561" s="8">
        <f>CHOOSE( CONTROL!$C$32, 14.7954, 14.7901) * CHOOSE(CONTROL!$C$15, $D$11, 100%, $F$11)</f>
        <v>14.795400000000001</v>
      </c>
      <c r="D561" s="8">
        <f>CHOOSE( CONTROL!$C$32, 14.8082, 14.8029) * CHOOSE( CONTROL!$C$15, $D$11, 100%, $F$11)</f>
        <v>14.808199999999999</v>
      </c>
      <c r="E561" s="12">
        <f>CHOOSE( CONTROL!$C$32, 14.802, 14.7967) * CHOOSE( CONTROL!$C$15, $D$11, 100%, $F$11)</f>
        <v>14.802</v>
      </c>
      <c r="F561" s="4">
        <f>CHOOSE( CONTROL!$C$32, 15.8078, 15.8026) * CHOOSE(CONTROL!$C$15, $D$11, 100%, $F$11)</f>
        <v>15.8078</v>
      </c>
      <c r="G561" s="8">
        <f>CHOOSE( CONTROL!$C$32, 14.4135, 14.4084) * CHOOSE( CONTROL!$C$15, $D$11, 100%, $F$11)</f>
        <v>14.413500000000001</v>
      </c>
      <c r="H561" s="4">
        <f>CHOOSE( CONTROL!$C$32, 15.3328, 15.3276) * CHOOSE(CONTROL!$C$15, $D$11, 100%, $F$11)</f>
        <v>15.332800000000001</v>
      </c>
      <c r="I561" s="8">
        <f>CHOOSE( CONTROL!$C$32, 14.2228, 14.2177) * CHOOSE(CONTROL!$C$15, $D$11, 100%, $F$11)</f>
        <v>14.222799999999999</v>
      </c>
      <c r="J561" s="4">
        <f>CHOOSE( CONTROL!$C$32, 14.1622, 14.1571) * CHOOSE(CONTROL!$C$15, $D$11, 100%, $F$11)</f>
        <v>14.1622</v>
      </c>
      <c r="K561" s="4"/>
      <c r="L561" s="9">
        <v>29.520499999999998</v>
      </c>
      <c r="M561" s="9">
        <v>12.063700000000001</v>
      </c>
      <c r="N561" s="9">
        <v>4.9444999999999997</v>
      </c>
      <c r="O561" s="9">
        <v>0.37459999999999999</v>
      </c>
      <c r="P561" s="9">
        <v>1.2192000000000001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CONTROL!$C$32, 14.5474, 14.5421) * CHOOSE(CONTROL!$C$15, $D$11, 100%, $F$11)</f>
        <v>14.5474</v>
      </c>
      <c r="C562" s="8">
        <f>CHOOSE( CONTROL!$C$32, 14.5578, 14.5526) * CHOOSE(CONTROL!$C$15, $D$11, 100%, $F$11)</f>
        <v>14.5578</v>
      </c>
      <c r="D562" s="8">
        <f>CHOOSE( CONTROL!$C$32, 14.5782, 14.573) * CHOOSE( CONTROL!$C$15, $D$11, 100%, $F$11)</f>
        <v>14.578200000000001</v>
      </c>
      <c r="E562" s="12">
        <f>CHOOSE( CONTROL!$C$32, 14.5692, 14.564) * CHOOSE( CONTROL!$C$15, $D$11, 100%, $F$11)</f>
        <v>14.5692</v>
      </c>
      <c r="F562" s="4">
        <f>CHOOSE( CONTROL!$C$32, 15.5828, 15.5776) * CHOOSE(CONTROL!$C$15, $D$11, 100%, $F$11)</f>
        <v>15.582800000000001</v>
      </c>
      <c r="G562" s="8">
        <f>CHOOSE( CONTROL!$C$32, 14.1858, 14.1807) * CHOOSE( CONTROL!$C$15, $D$11, 100%, $F$11)</f>
        <v>14.1858</v>
      </c>
      <c r="H562" s="4">
        <f>CHOOSE( CONTROL!$C$32, 15.1134, 15.1083) * CHOOSE(CONTROL!$C$15, $D$11, 100%, $F$11)</f>
        <v>15.1134</v>
      </c>
      <c r="I562" s="8">
        <f>CHOOSE( CONTROL!$C$32, 14.0003, 13.9952) * CHOOSE(CONTROL!$C$15, $D$11, 100%, $F$11)</f>
        <v>14.000299999999999</v>
      </c>
      <c r="J562" s="4">
        <f>CHOOSE( CONTROL!$C$32, 13.9345, 13.9295) * CHOOSE(CONTROL!$C$15, $D$11, 100%, $F$11)</f>
        <v>13.9345</v>
      </c>
      <c r="K562" s="4"/>
      <c r="L562" s="9">
        <v>28.568200000000001</v>
      </c>
      <c r="M562" s="9">
        <v>11.6745</v>
      </c>
      <c r="N562" s="9">
        <v>4.7850000000000001</v>
      </c>
      <c r="O562" s="9">
        <v>0.36249999999999999</v>
      </c>
      <c r="P562" s="9">
        <v>1.1798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CONTROL!$C$32, 15.1729, 15.1677) * CHOOSE(CONTROL!$C$15, $D$11, 100%, $F$11)</f>
        <v>15.1729</v>
      </c>
      <c r="C563" s="8">
        <f>CHOOSE( CONTROL!$C$32, 15.1834, 15.1781) * CHOOSE(CONTROL!$C$15, $D$11, 100%, $F$11)</f>
        <v>15.183400000000001</v>
      </c>
      <c r="D563" s="8">
        <f>CHOOSE( CONTROL!$C$32, 15.194, 15.1887) * CHOOSE( CONTROL!$C$15, $D$11, 100%, $F$11)</f>
        <v>15.194000000000001</v>
      </c>
      <c r="E563" s="12">
        <f>CHOOSE( CONTROL!$C$32, 15.1886, 15.1833) * CHOOSE( CONTROL!$C$15, $D$11, 100%, $F$11)</f>
        <v>15.188599999999999</v>
      </c>
      <c r="F563" s="4">
        <f>CHOOSE( CONTROL!$C$32, 16.2083, 16.2031) * CHOOSE(CONTROL!$C$15, $D$11, 100%, $F$11)</f>
        <v>16.208300000000001</v>
      </c>
      <c r="G563" s="8">
        <f>CHOOSE( CONTROL!$C$32, 14.7823, 14.7772) * CHOOSE( CONTROL!$C$15, $D$11, 100%, $F$11)</f>
        <v>14.782299999999999</v>
      </c>
      <c r="H563" s="4">
        <f>CHOOSE( CONTROL!$C$32, 15.7232, 15.7181) * CHOOSE(CONTROL!$C$15, $D$11, 100%, $F$11)</f>
        <v>15.7232</v>
      </c>
      <c r="I563" s="8">
        <f>CHOOSE( CONTROL!$C$32, 14.6034, 14.5983) * CHOOSE(CONTROL!$C$15, $D$11, 100%, $F$11)</f>
        <v>14.603400000000001</v>
      </c>
      <c r="J563" s="4">
        <f>CHOOSE( CONTROL!$C$32, 14.5339, 14.5289) * CHOOSE(CONTROL!$C$15, $D$11, 100%, $F$11)</f>
        <v>14.533899999999999</v>
      </c>
      <c r="K563" s="4"/>
      <c r="L563" s="9">
        <v>29.520499999999998</v>
      </c>
      <c r="M563" s="9">
        <v>12.063700000000001</v>
      </c>
      <c r="N563" s="9">
        <v>4.9444999999999997</v>
      </c>
      <c r="O563" s="9">
        <v>0.37459999999999999</v>
      </c>
      <c r="P563" s="9">
        <v>1.2192000000000001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CONTROL!$C$32, 14.0025, 13.9972) * CHOOSE(CONTROL!$C$15, $D$11, 100%, $F$11)</f>
        <v>14.0025</v>
      </c>
      <c r="C564" s="8">
        <f>CHOOSE( CONTROL!$C$32, 14.0129, 14.0076) * CHOOSE(CONTROL!$C$15, $D$11, 100%, $F$11)</f>
        <v>14.0129</v>
      </c>
      <c r="D564" s="8">
        <f>CHOOSE( CONTROL!$C$32, 14.0238, 14.0186) * CHOOSE( CONTROL!$C$15, $D$11, 100%, $F$11)</f>
        <v>14.0238</v>
      </c>
      <c r="E564" s="12">
        <f>CHOOSE( CONTROL!$C$32, 14.0183, 14.013) * CHOOSE( CONTROL!$C$15, $D$11, 100%, $F$11)</f>
        <v>14.0183</v>
      </c>
      <c r="F564" s="4">
        <f>CHOOSE( CONTROL!$C$32, 15.0379, 15.0326) * CHOOSE(CONTROL!$C$15, $D$11, 100%, $F$11)</f>
        <v>15.0379</v>
      </c>
      <c r="G564" s="8">
        <f>CHOOSE( CONTROL!$C$32, 13.6419, 13.6368) * CHOOSE( CONTROL!$C$15, $D$11, 100%, $F$11)</f>
        <v>13.6419</v>
      </c>
      <c r="H564" s="4">
        <f>CHOOSE( CONTROL!$C$32, 14.5823, 14.5771) * CHOOSE(CONTROL!$C$15, $D$11, 100%, $F$11)</f>
        <v>14.5823</v>
      </c>
      <c r="I564" s="8">
        <f>CHOOSE( CONTROL!$C$32, 13.4829, 13.4778) * CHOOSE(CONTROL!$C$15, $D$11, 100%, $F$11)</f>
        <v>13.482900000000001</v>
      </c>
      <c r="J564" s="4">
        <f>CHOOSE( CONTROL!$C$32, 13.4124, 13.4074) * CHOOSE(CONTROL!$C$15, $D$11, 100%, $F$11)</f>
        <v>13.4124</v>
      </c>
      <c r="K564" s="4"/>
      <c r="L564" s="9">
        <v>29.520499999999998</v>
      </c>
      <c r="M564" s="9">
        <v>12.063700000000001</v>
      </c>
      <c r="N564" s="9">
        <v>4.9444999999999997</v>
      </c>
      <c r="O564" s="9">
        <v>0.37459999999999999</v>
      </c>
      <c r="P564" s="9">
        <v>1.2192000000000001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CONTROL!$C$32, 13.7094, 13.7041) * CHOOSE(CONTROL!$C$15, $D$11, 100%, $F$11)</f>
        <v>13.7094</v>
      </c>
      <c r="C565" s="8">
        <f>CHOOSE( CONTROL!$C$32, 13.7198, 13.7146) * CHOOSE(CONTROL!$C$15, $D$11, 100%, $F$11)</f>
        <v>13.719799999999999</v>
      </c>
      <c r="D565" s="8">
        <f>CHOOSE( CONTROL!$C$32, 13.7309, 13.7256) * CHOOSE( CONTROL!$C$15, $D$11, 100%, $F$11)</f>
        <v>13.7309</v>
      </c>
      <c r="E565" s="12">
        <f>CHOOSE( CONTROL!$C$32, 13.7253, 13.72) * CHOOSE( CONTROL!$C$15, $D$11, 100%, $F$11)</f>
        <v>13.725300000000001</v>
      </c>
      <c r="F565" s="4">
        <f>CHOOSE( CONTROL!$C$32, 14.7448, 14.7395) * CHOOSE(CONTROL!$C$15, $D$11, 100%, $F$11)</f>
        <v>14.7448</v>
      </c>
      <c r="G565" s="8">
        <f>CHOOSE( CONTROL!$C$32, 13.3564, 13.3513) * CHOOSE( CONTROL!$C$15, $D$11, 100%, $F$11)</f>
        <v>13.356400000000001</v>
      </c>
      <c r="H565" s="4">
        <f>CHOOSE( CONTROL!$C$32, 14.2966, 14.2914) * CHOOSE(CONTROL!$C$15, $D$11, 100%, $F$11)</f>
        <v>14.2966</v>
      </c>
      <c r="I565" s="8">
        <f>CHOOSE( CONTROL!$C$32, 13.2026, 13.1976) * CHOOSE(CONTROL!$C$15, $D$11, 100%, $F$11)</f>
        <v>13.2026</v>
      </c>
      <c r="J565" s="4">
        <f>CHOOSE( CONTROL!$C$32, 13.1316, 13.1265) * CHOOSE(CONTROL!$C$15, $D$11, 100%, $F$11)</f>
        <v>13.131600000000001</v>
      </c>
      <c r="K565" s="4"/>
      <c r="L565" s="9">
        <v>28.568200000000001</v>
      </c>
      <c r="M565" s="9">
        <v>11.6745</v>
      </c>
      <c r="N565" s="9">
        <v>4.7850000000000001</v>
      </c>
      <c r="O565" s="9">
        <v>0.36249999999999999</v>
      </c>
      <c r="P565" s="9">
        <v>1.1798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14.3127 * CHOOSE(CONTROL!$C$15, $D$11, 100%, $F$11)</f>
        <v>14.3127</v>
      </c>
      <c r="C566" s="8">
        <f>14.3231 * CHOOSE(CONTROL!$C$15, $D$11, 100%, $F$11)</f>
        <v>14.3231</v>
      </c>
      <c r="D566" s="8">
        <f>14.3355 * CHOOSE( CONTROL!$C$15, $D$11, 100%, $F$11)</f>
        <v>14.3355</v>
      </c>
      <c r="E566" s="12">
        <f>14.3303 * CHOOSE( CONTROL!$C$15, $D$11, 100%, $F$11)</f>
        <v>14.330299999999999</v>
      </c>
      <c r="F566" s="4">
        <f>15.3481 * CHOOSE(CONTROL!$C$15, $D$11, 100%, $F$11)</f>
        <v>15.348100000000001</v>
      </c>
      <c r="G566" s="8">
        <f>13.9439 * CHOOSE( CONTROL!$C$15, $D$11, 100%, $F$11)</f>
        <v>13.943899999999999</v>
      </c>
      <c r="H566" s="4">
        <f>14.8847 * CHOOSE(CONTROL!$C$15, $D$11, 100%, $F$11)</f>
        <v>14.8847</v>
      </c>
      <c r="I566" s="8">
        <f>13.7824 * CHOOSE(CONTROL!$C$15, $D$11, 100%, $F$11)</f>
        <v>13.782400000000001</v>
      </c>
      <c r="J566" s="4">
        <f>13.7097 * CHOOSE(CONTROL!$C$15, $D$11, 100%, $F$11)</f>
        <v>13.7097</v>
      </c>
      <c r="K566" s="4"/>
      <c r="L566" s="9">
        <v>28.921800000000001</v>
      </c>
      <c r="M566" s="9">
        <v>12.063700000000001</v>
      </c>
      <c r="N566" s="9">
        <v>4.9444999999999997</v>
      </c>
      <c r="O566" s="9">
        <v>0.37459999999999999</v>
      </c>
      <c r="P566" s="9">
        <v>1.2192000000000001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15.436 * CHOOSE(CONTROL!$C$15, $D$11, 100%, $F$11)</f>
        <v>15.436</v>
      </c>
      <c r="C567" s="8">
        <f>15.4464 * CHOOSE(CONTROL!$C$15, $D$11, 100%, $F$11)</f>
        <v>15.446400000000001</v>
      </c>
      <c r="D567" s="8">
        <f>15.4302 * CHOOSE( CONTROL!$C$15, $D$11, 100%, $F$11)</f>
        <v>15.430199999999999</v>
      </c>
      <c r="E567" s="12">
        <f>15.435 * CHOOSE( CONTROL!$C$15, $D$11, 100%, $F$11)</f>
        <v>15.435</v>
      </c>
      <c r="F567" s="4">
        <f>16.4302 * CHOOSE(CONTROL!$C$15, $D$11, 100%, $F$11)</f>
        <v>16.430199999999999</v>
      </c>
      <c r="G567" s="8">
        <f>15.0598 * CHOOSE( CONTROL!$C$15, $D$11, 100%, $F$11)</f>
        <v>15.059799999999999</v>
      </c>
      <c r="H567" s="4">
        <f>15.9394 * CHOOSE(CONTROL!$C$15, $D$11, 100%, $F$11)</f>
        <v>15.939399999999999</v>
      </c>
      <c r="I567" s="8">
        <f>14.8961 * CHOOSE(CONTROL!$C$15, $D$11, 100%, $F$11)</f>
        <v>14.896100000000001</v>
      </c>
      <c r="J567" s="4">
        <f>14.786 * CHOOSE(CONTROL!$C$15, $D$11, 100%, $F$11)</f>
        <v>14.786</v>
      </c>
      <c r="K567" s="4"/>
      <c r="L567" s="9">
        <v>26.515499999999999</v>
      </c>
      <c r="M567" s="9">
        <v>11.6745</v>
      </c>
      <c r="N567" s="9">
        <v>4.7850000000000001</v>
      </c>
      <c r="O567" s="9">
        <v>0.36249999999999999</v>
      </c>
      <c r="P567" s="9">
        <v>1.2522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15.4079 * CHOOSE(CONTROL!$C$15, $D$11, 100%, $F$11)</f>
        <v>15.4079</v>
      </c>
      <c r="C568" s="8">
        <f>15.4183 * CHOOSE(CONTROL!$C$15, $D$11, 100%, $F$11)</f>
        <v>15.4183</v>
      </c>
      <c r="D568" s="8">
        <f>15.4044 * CHOOSE( CONTROL!$C$15, $D$11, 100%, $F$11)</f>
        <v>15.404400000000001</v>
      </c>
      <c r="E568" s="12">
        <f>15.4084 * CHOOSE( CONTROL!$C$15, $D$11, 100%, $F$11)</f>
        <v>15.4084</v>
      </c>
      <c r="F568" s="4">
        <f>16.4021 * CHOOSE(CONTROL!$C$15, $D$11, 100%, $F$11)</f>
        <v>16.402100000000001</v>
      </c>
      <c r="G568" s="8">
        <f>15.0342 * CHOOSE( CONTROL!$C$15, $D$11, 100%, $F$11)</f>
        <v>15.0342</v>
      </c>
      <c r="H568" s="4">
        <f>15.9121 * CHOOSE(CONTROL!$C$15, $D$11, 100%, $F$11)</f>
        <v>15.912100000000001</v>
      </c>
      <c r="I568" s="8">
        <f>14.8768 * CHOOSE(CONTROL!$C$15, $D$11, 100%, $F$11)</f>
        <v>14.876799999999999</v>
      </c>
      <c r="J568" s="4">
        <f>14.7591 * CHOOSE(CONTROL!$C$15, $D$11, 100%, $F$11)</f>
        <v>14.7591</v>
      </c>
      <c r="K568" s="4"/>
      <c r="L568" s="9">
        <v>27.3993</v>
      </c>
      <c r="M568" s="9">
        <v>12.063700000000001</v>
      </c>
      <c r="N568" s="9">
        <v>4.9444999999999997</v>
      </c>
      <c r="O568" s="9">
        <v>0.37459999999999999</v>
      </c>
      <c r="P568" s="9">
        <v>1.2939000000000001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15.9966 * CHOOSE(CONTROL!$C$15, $D$11, 100%, $F$11)</f>
        <v>15.996600000000001</v>
      </c>
      <c r="C569" s="8">
        <f>16.007 * CHOOSE(CONTROL!$C$15, $D$11, 100%, $F$11)</f>
        <v>16.007000000000001</v>
      </c>
      <c r="D569" s="8">
        <f>16.0064 * CHOOSE( CONTROL!$C$15, $D$11, 100%, $F$11)</f>
        <v>16.006399999999999</v>
      </c>
      <c r="E569" s="12">
        <f>16.0055 * CHOOSE( CONTROL!$C$15, $D$11, 100%, $F$11)</f>
        <v>16.005500000000001</v>
      </c>
      <c r="F569" s="4">
        <f>17.0195 * CHOOSE(CONTROL!$C$15, $D$11, 100%, $F$11)</f>
        <v>17.019500000000001</v>
      </c>
      <c r="G569" s="8">
        <f>15.6216 * CHOOSE( CONTROL!$C$15, $D$11, 100%, $F$11)</f>
        <v>15.621600000000001</v>
      </c>
      <c r="H569" s="4">
        <f>16.5139 * CHOOSE(CONTROL!$C$15, $D$11, 100%, $F$11)</f>
        <v>16.5139</v>
      </c>
      <c r="I569" s="8">
        <f>15.4394 * CHOOSE(CONTROL!$C$15, $D$11, 100%, $F$11)</f>
        <v>15.439399999999999</v>
      </c>
      <c r="J569" s="4">
        <f>15.3232 * CHOOSE(CONTROL!$C$15, $D$11, 100%, $F$11)</f>
        <v>15.3232</v>
      </c>
      <c r="K569" s="4"/>
      <c r="L569" s="9">
        <v>27.3993</v>
      </c>
      <c r="M569" s="9">
        <v>12.063700000000001</v>
      </c>
      <c r="N569" s="9">
        <v>4.9444999999999997</v>
      </c>
      <c r="O569" s="9">
        <v>0.37459999999999999</v>
      </c>
      <c r="P569" s="9">
        <v>1.2939000000000001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14.9628 * CHOOSE(CONTROL!$C$15, $D$11, 100%, $F$11)</f>
        <v>14.9628</v>
      </c>
      <c r="C570" s="8">
        <f>14.9732 * CHOOSE(CONTROL!$C$15, $D$11, 100%, $F$11)</f>
        <v>14.9732</v>
      </c>
      <c r="D570" s="8">
        <f>14.9747 * CHOOSE( CONTROL!$C$15, $D$11, 100%, $F$11)</f>
        <v>14.9747</v>
      </c>
      <c r="E570" s="12">
        <f>14.973 * CHOOSE( CONTROL!$C$15, $D$11, 100%, $F$11)</f>
        <v>14.973000000000001</v>
      </c>
      <c r="F570" s="4">
        <f>15.9778 * CHOOSE(CONTROL!$C$15, $D$11, 100%, $F$11)</f>
        <v>15.9778</v>
      </c>
      <c r="G570" s="8">
        <f>14.6136 * CHOOSE( CONTROL!$C$15, $D$11, 100%, $F$11)</f>
        <v>14.6136</v>
      </c>
      <c r="H570" s="4">
        <f>15.4985 * CHOOSE(CONTROL!$C$15, $D$11, 100%, $F$11)</f>
        <v>15.4985</v>
      </c>
      <c r="I570" s="8">
        <f>14.4374 * CHOOSE(CONTROL!$C$15, $D$11, 100%, $F$11)</f>
        <v>14.4374</v>
      </c>
      <c r="J570" s="4">
        <f>14.3326 * CHOOSE(CONTROL!$C$15, $D$11, 100%, $F$11)</f>
        <v>14.332599999999999</v>
      </c>
      <c r="K570" s="4"/>
      <c r="L570" s="9">
        <v>24.747800000000002</v>
      </c>
      <c r="M570" s="9">
        <v>10.8962</v>
      </c>
      <c r="N570" s="9">
        <v>4.4660000000000002</v>
      </c>
      <c r="O570" s="9">
        <v>0.33829999999999999</v>
      </c>
      <c r="P570" s="9">
        <v>1.1687000000000001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14.6443 * CHOOSE(CONTROL!$C$15, $D$11, 100%, $F$11)</f>
        <v>14.644299999999999</v>
      </c>
      <c r="C571" s="8">
        <f>14.6548 * CHOOSE(CONTROL!$C$15, $D$11, 100%, $F$11)</f>
        <v>14.6548</v>
      </c>
      <c r="D571" s="8">
        <f>14.6358 * CHOOSE( CONTROL!$C$15, $D$11, 100%, $F$11)</f>
        <v>14.6358</v>
      </c>
      <c r="E571" s="12">
        <f>14.6416 * CHOOSE( CONTROL!$C$15, $D$11, 100%, $F$11)</f>
        <v>14.6416</v>
      </c>
      <c r="F571" s="4">
        <f>15.6432 * CHOOSE(CONTROL!$C$15, $D$11, 100%, $F$11)</f>
        <v>15.6432</v>
      </c>
      <c r="G571" s="8">
        <f>14.2825 * CHOOSE( CONTROL!$C$15, $D$11, 100%, $F$11)</f>
        <v>14.282500000000001</v>
      </c>
      <c r="H571" s="4">
        <f>15.1723 * CHOOSE(CONTROL!$C$15, $D$11, 100%, $F$11)</f>
        <v>15.1723</v>
      </c>
      <c r="I571" s="8">
        <f>14.0926 * CHOOSE(CONTROL!$C$15, $D$11, 100%, $F$11)</f>
        <v>14.092599999999999</v>
      </c>
      <c r="J571" s="4">
        <f>14.0275 * CHOOSE(CONTROL!$C$15, $D$11, 100%, $F$11)</f>
        <v>14.0275</v>
      </c>
      <c r="K571" s="4"/>
      <c r="L571" s="9">
        <v>27.3993</v>
      </c>
      <c r="M571" s="9">
        <v>12.063700000000001</v>
      </c>
      <c r="N571" s="9">
        <v>4.9444999999999997</v>
      </c>
      <c r="O571" s="9">
        <v>0.37459999999999999</v>
      </c>
      <c r="P571" s="9">
        <v>1.2939000000000001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14.8668 * CHOOSE(CONTROL!$C$15, $D$11, 100%, $F$11)</f>
        <v>14.8668</v>
      </c>
      <c r="C572" s="8">
        <f>14.8773 * CHOOSE(CONTROL!$C$15, $D$11, 100%, $F$11)</f>
        <v>14.8773</v>
      </c>
      <c r="D572" s="8">
        <f>14.8813 * CHOOSE( CONTROL!$C$15, $D$11, 100%, $F$11)</f>
        <v>14.8813</v>
      </c>
      <c r="E572" s="12">
        <f>14.8788 * CHOOSE( CONTROL!$C$15, $D$11, 100%, $F$11)</f>
        <v>14.8788</v>
      </c>
      <c r="F572" s="4">
        <f>15.8741 * CHOOSE(CONTROL!$C$15, $D$11, 100%, $F$11)</f>
        <v>15.8741</v>
      </c>
      <c r="G572" s="8">
        <f>14.4878 * CHOOSE( CONTROL!$C$15, $D$11, 100%, $F$11)</f>
        <v>14.4878</v>
      </c>
      <c r="H572" s="4">
        <f>15.3974 * CHOOSE(CONTROL!$C$15, $D$11, 100%, $F$11)</f>
        <v>15.397399999999999</v>
      </c>
      <c r="I572" s="8">
        <f>14.296 * CHOOSE(CONTROL!$C$15, $D$11, 100%, $F$11)</f>
        <v>14.295999999999999</v>
      </c>
      <c r="J572" s="4">
        <f>14.2407 * CHOOSE(CONTROL!$C$15, $D$11, 100%, $F$11)</f>
        <v>14.2407</v>
      </c>
      <c r="K572" s="4"/>
      <c r="L572" s="9">
        <v>27.988800000000001</v>
      </c>
      <c r="M572" s="9">
        <v>11.6745</v>
      </c>
      <c r="N572" s="9">
        <v>4.7850000000000001</v>
      </c>
      <c r="O572" s="9">
        <v>0.36249999999999999</v>
      </c>
      <c r="P572" s="9">
        <v>1.1798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CONTROL!$C$32, 15.2681, 15.2628) * CHOOSE(CONTROL!$C$15, $D$11, 100%, $F$11)</f>
        <v>15.2681</v>
      </c>
      <c r="C573" s="8">
        <f>CHOOSE( CONTROL!$C$32, 15.2785, 15.2733) * CHOOSE(CONTROL!$C$15, $D$11, 100%, $F$11)</f>
        <v>15.278499999999999</v>
      </c>
      <c r="D573" s="8">
        <f>CHOOSE( CONTROL!$C$32, 15.2914, 15.2861) * CHOOSE( CONTROL!$C$15, $D$11, 100%, $F$11)</f>
        <v>15.291399999999999</v>
      </c>
      <c r="E573" s="12">
        <f>CHOOSE( CONTROL!$C$32, 15.2851, 15.2799) * CHOOSE( CONTROL!$C$15, $D$11, 100%, $F$11)</f>
        <v>15.2851</v>
      </c>
      <c r="F573" s="4">
        <f>CHOOSE( CONTROL!$C$32, 16.291, 16.2858) * CHOOSE(CONTROL!$C$15, $D$11, 100%, $F$11)</f>
        <v>16.291</v>
      </c>
      <c r="G573" s="8">
        <f>CHOOSE( CONTROL!$C$32, 14.8845, 14.8794) * CHOOSE( CONTROL!$C$15, $D$11, 100%, $F$11)</f>
        <v>14.884499999999999</v>
      </c>
      <c r="H573" s="4">
        <f>CHOOSE( CONTROL!$C$32, 15.8038, 15.7986) * CHOOSE(CONTROL!$C$15, $D$11, 100%, $F$11)</f>
        <v>15.803800000000001</v>
      </c>
      <c r="I573" s="8">
        <f>CHOOSE( CONTROL!$C$32, 14.686, 14.681) * CHOOSE(CONTROL!$C$15, $D$11, 100%, $F$11)</f>
        <v>14.686</v>
      </c>
      <c r="J573" s="4">
        <f>CHOOSE( CONTROL!$C$32, 14.6251, 14.6201) * CHOOSE(CONTROL!$C$15, $D$11, 100%, $F$11)</f>
        <v>14.6251</v>
      </c>
      <c r="K573" s="4"/>
      <c r="L573" s="9">
        <v>29.520499999999998</v>
      </c>
      <c r="M573" s="9">
        <v>12.063700000000001</v>
      </c>
      <c r="N573" s="9">
        <v>4.9444999999999997</v>
      </c>
      <c r="O573" s="9">
        <v>0.37459999999999999</v>
      </c>
      <c r="P573" s="9">
        <v>1.2192000000000001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CONTROL!$C$32, 15.0228, 15.0175) * CHOOSE(CONTROL!$C$15, $D$11, 100%, $F$11)</f>
        <v>15.0228</v>
      </c>
      <c r="C574" s="8">
        <f>CHOOSE( CONTROL!$C$32, 15.0332, 15.028) * CHOOSE(CONTROL!$C$15, $D$11, 100%, $F$11)</f>
        <v>15.033200000000001</v>
      </c>
      <c r="D574" s="8">
        <f>CHOOSE( CONTROL!$C$32, 15.0537, 15.0484) * CHOOSE( CONTROL!$C$15, $D$11, 100%, $F$11)</f>
        <v>15.053699999999999</v>
      </c>
      <c r="E574" s="12">
        <f>CHOOSE( CONTROL!$C$32, 15.0447, 15.0394) * CHOOSE( CONTROL!$C$15, $D$11, 100%, $F$11)</f>
        <v>15.044700000000001</v>
      </c>
      <c r="F574" s="4">
        <f>CHOOSE( CONTROL!$C$32, 16.0582, 16.053) * CHOOSE(CONTROL!$C$15, $D$11, 100%, $F$11)</f>
        <v>16.058199999999999</v>
      </c>
      <c r="G574" s="8">
        <f>CHOOSE( CONTROL!$C$32, 14.6492, 14.6441) * CHOOSE( CONTROL!$C$15, $D$11, 100%, $F$11)</f>
        <v>14.6492</v>
      </c>
      <c r="H574" s="4">
        <f>CHOOSE( CONTROL!$C$32, 15.5769, 15.5717) * CHOOSE(CONTROL!$C$15, $D$11, 100%, $F$11)</f>
        <v>15.5769</v>
      </c>
      <c r="I574" s="8">
        <f>CHOOSE( CONTROL!$C$32, 14.4561, 14.451) * CHOOSE(CONTROL!$C$15, $D$11, 100%, $F$11)</f>
        <v>14.456099999999999</v>
      </c>
      <c r="J574" s="4">
        <f>CHOOSE( CONTROL!$C$32, 14.3901, 14.385) * CHOOSE(CONTROL!$C$15, $D$11, 100%, $F$11)</f>
        <v>14.3901</v>
      </c>
      <c r="K574" s="4"/>
      <c r="L574" s="9">
        <v>28.568200000000001</v>
      </c>
      <c r="M574" s="9">
        <v>11.6745</v>
      </c>
      <c r="N574" s="9">
        <v>4.7850000000000001</v>
      </c>
      <c r="O574" s="9">
        <v>0.36249999999999999</v>
      </c>
      <c r="P574" s="9">
        <v>1.1798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CONTROL!$C$32, 15.6688, 15.6635) * CHOOSE(CONTROL!$C$15, $D$11, 100%, $F$11)</f>
        <v>15.668799999999999</v>
      </c>
      <c r="C575" s="8">
        <f>CHOOSE( CONTROL!$C$32, 15.6792, 15.674) * CHOOSE(CONTROL!$C$15, $D$11, 100%, $F$11)</f>
        <v>15.6792</v>
      </c>
      <c r="D575" s="8">
        <f>CHOOSE( CONTROL!$C$32, 15.6898, 15.6846) * CHOOSE( CONTROL!$C$15, $D$11, 100%, $F$11)</f>
        <v>15.6898</v>
      </c>
      <c r="E575" s="12">
        <f>CHOOSE( CONTROL!$C$32, 15.6844, 15.6792) * CHOOSE( CONTROL!$C$15, $D$11, 100%, $F$11)</f>
        <v>15.6844</v>
      </c>
      <c r="F575" s="4">
        <f>CHOOSE( CONTROL!$C$32, 16.7042, 16.699) * CHOOSE(CONTROL!$C$15, $D$11, 100%, $F$11)</f>
        <v>16.7042</v>
      </c>
      <c r="G575" s="8">
        <f>CHOOSE( CONTROL!$C$32, 15.2657, 15.2606) * CHOOSE( CONTROL!$C$15, $D$11, 100%, $F$11)</f>
        <v>15.265700000000001</v>
      </c>
      <c r="H575" s="4">
        <f>CHOOSE( CONTROL!$C$32, 16.2066, 16.2014) * CHOOSE(CONTROL!$C$15, $D$11, 100%, $F$11)</f>
        <v>16.206600000000002</v>
      </c>
      <c r="I575" s="8">
        <f>CHOOSE( CONTROL!$C$32, 15.0787, 15.0737) * CHOOSE(CONTROL!$C$15, $D$11, 100%, $F$11)</f>
        <v>15.0787</v>
      </c>
      <c r="J575" s="4">
        <f>CHOOSE( CONTROL!$C$32, 15.0091, 15.004) * CHOOSE(CONTROL!$C$15, $D$11, 100%, $F$11)</f>
        <v>15.0091</v>
      </c>
      <c r="K575" s="4"/>
      <c r="L575" s="9">
        <v>29.520499999999998</v>
      </c>
      <c r="M575" s="9">
        <v>12.063700000000001</v>
      </c>
      <c r="N575" s="9">
        <v>4.9444999999999997</v>
      </c>
      <c r="O575" s="9">
        <v>0.37459999999999999</v>
      </c>
      <c r="P575" s="9">
        <v>1.2192000000000001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CONTROL!$C$32, 14.4601, 14.4548) * CHOOSE(CONTROL!$C$15, $D$11, 100%, $F$11)</f>
        <v>14.460100000000001</v>
      </c>
      <c r="C576" s="8">
        <f>CHOOSE( CONTROL!$C$32, 14.4705, 14.4652) * CHOOSE(CONTROL!$C$15, $D$11, 100%, $F$11)</f>
        <v>14.470499999999999</v>
      </c>
      <c r="D576" s="8">
        <f>CHOOSE( CONTROL!$C$32, 14.4814, 14.4762) * CHOOSE( CONTROL!$C$15, $D$11, 100%, $F$11)</f>
        <v>14.481400000000001</v>
      </c>
      <c r="E576" s="12">
        <f>CHOOSE( CONTROL!$C$32, 14.4759, 14.4706) * CHOOSE( CONTROL!$C$15, $D$11, 100%, $F$11)</f>
        <v>14.475899999999999</v>
      </c>
      <c r="F576" s="4">
        <f>CHOOSE( CONTROL!$C$32, 15.4955, 15.4902) * CHOOSE(CONTROL!$C$15, $D$11, 100%, $F$11)</f>
        <v>15.4955</v>
      </c>
      <c r="G576" s="8">
        <f>CHOOSE( CONTROL!$C$32, 14.088, 14.0828) * CHOOSE( CONTROL!$C$15, $D$11, 100%, $F$11)</f>
        <v>14.087999999999999</v>
      </c>
      <c r="H576" s="4">
        <f>CHOOSE( CONTROL!$C$32, 15.0283, 15.0232) * CHOOSE(CONTROL!$C$15, $D$11, 100%, $F$11)</f>
        <v>15.0283</v>
      </c>
      <c r="I576" s="8">
        <f>CHOOSE( CONTROL!$C$32, 13.9216, 13.9165) * CHOOSE(CONTROL!$C$15, $D$11, 100%, $F$11)</f>
        <v>13.9216</v>
      </c>
      <c r="J576" s="4">
        <f>CHOOSE( CONTROL!$C$32, 13.8509, 13.8458) * CHOOSE(CONTROL!$C$15, $D$11, 100%, $F$11)</f>
        <v>13.850899999999999</v>
      </c>
      <c r="K576" s="4"/>
      <c r="L576" s="9">
        <v>29.520499999999998</v>
      </c>
      <c r="M576" s="9">
        <v>12.063700000000001</v>
      </c>
      <c r="N576" s="9">
        <v>4.9444999999999997</v>
      </c>
      <c r="O576" s="9">
        <v>0.37459999999999999</v>
      </c>
      <c r="P576" s="9">
        <v>1.2192000000000001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CONTROL!$C$32, 14.1574, 14.1521) * CHOOSE(CONTROL!$C$15, $D$11, 100%, $F$11)</f>
        <v>14.157400000000001</v>
      </c>
      <c r="C577" s="8">
        <f>CHOOSE( CONTROL!$C$32, 14.1678, 14.1626) * CHOOSE(CONTROL!$C$15, $D$11, 100%, $F$11)</f>
        <v>14.1678</v>
      </c>
      <c r="D577" s="8">
        <f>CHOOSE( CONTROL!$C$32, 14.1789, 14.1736) * CHOOSE( CONTROL!$C$15, $D$11, 100%, $F$11)</f>
        <v>14.178900000000001</v>
      </c>
      <c r="E577" s="12">
        <f>CHOOSE( CONTROL!$C$32, 14.1733, 14.168) * CHOOSE( CONTROL!$C$15, $D$11, 100%, $F$11)</f>
        <v>14.173299999999999</v>
      </c>
      <c r="F577" s="4">
        <f>CHOOSE( CONTROL!$C$32, 15.1928, 15.1876) * CHOOSE(CONTROL!$C$15, $D$11, 100%, $F$11)</f>
        <v>15.1928</v>
      </c>
      <c r="G577" s="8">
        <f>CHOOSE( CONTROL!$C$32, 13.7931, 13.788) * CHOOSE( CONTROL!$C$15, $D$11, 100%, $F$11)</f>
        <v>13.793100000000001</v>
      </c>
      <c r="H577" s="4">
        <f>CHOOSE( CONTROL!$C$32, 14.7333, 14.7282) * CHOOSE(CONTROL!$C$15, $D$11, 100%, $F$11)</f>
        <v>14.7333</v>
      </c>
      <c r="I577" s="8">
        <f>CHOOSE( CONTROL!$C$32, 13.6321, 13.6271) * CHOOSE(CONTROL!$C$15, $D$11, 100%, $F$11)</f>
        <v>13.632099999999999</v>
      </c>
      <c r="J577" s="4">
        <f>CHOOSE( CONTROL!$C$32, 13.5608, 13.5558) * CHOOSE(CONTROL!$C$15, $D$11, 100%, $F$11)</f>
        <v>13.5608</v>
      </c>
      <c r="K577" s="4"/>
      <c r="L577" s="9">
        <v>28.568200000000001</v>
      </c>
      <c r="M577" s="9">
        <v>11.6745</v>
      </c>
      <c r="N577" s="9">
        <v>4.7850000000000001</v>
      </c>
      <c r="O577" s="9">
        <v>0.36249999999999999</v>
      </c>
      <c r="P577" s="9">
        <v>1.1798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14.7806 * CHOOSE(CONTROL!$C$15, $D$11, 100%, $F$11)</f>
        <v>14.7806</v>
      </c>
      <c r="C578" s="8">
        <f>14.791 * CHOOSE(CONTROL!$C$15, $D$11, 100%, $F$11)</f>
        <v>14.791</v>
      </c>
      <c r="D578" s="8">
        <f>14.8034 * CHOOSE( CONTROL!$C$15, $D$11, 100%, $F$11)</f>
        <v>14.8034</v>
      </c>
      <c r="E578" s="12">
        <f>14.7982 * CHOOSE( CONTROL!$C$15, $D$11, 100%, $F$11)</f>
        <v>14.7982</v>
      </c>
      <c r="F578" s="4">
        <f>15.816 * CHOOSE(CONTROL!$C$15, $D$11, 100%, $F$11)</f>
        <v>15.816000000000001</v>
      </c>
      <c r="G578" s="8">
        <f>14.4 * CHOOSE( CONTROL!$C$15, $D$11, 100%, $F$11)</f>
        <v>14.4</v>
      </c>
      <c r="H578" s="4">
        <f>15.3408 * CHOOSE(CONTROL!$C$15, $D$11, 100%, $F$11)</f>
        <v>15.3408</v>
      </c>
      <c r="I578" s="8">
        <f>14.231 * CHOOSE(CONTROL!$C$15, $D$11, 100%, $F$11)</f>
        <v>14.231</v>
      </c>
      <c r="J578" s="4">
        <f>14.158 * CHOOSE(CONTROL!$C$15, $D$11, 100%, $F$11)</f>
        <v>14.157999999999999</v>
      </c>
      <c r="K578" s="4"/>
      <c r="L578" s="9">
        <v>28.921800000000001</v>
      </c>
      <c r="M578" s="9">
        <v>12.063700000000001</v>
      </c>
      <c r="N578" s="9">
        <v>4.9444999999999997</v>
      </c>
      <c r="O578" s="9">
        <v>0.37459999999999999</v>
      </c>
      <c r="P578" s="9">
        <v>1.2192000000000001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15.9406 * CHOOSE(CONTROL!$C$15, $D$11, 100%, $F$11)</f>
        <v>15.9406</v>
      </c>
      <c r="C579" s="8">
        <f>15.9511 * CHOOSE(CONTROL!$C$15, $D$11, 100%, $F$11)</f>
        <v>15.9511</v>
      </c>
      <c r="D579" s="8">
        <f>15.9348 * CHOOSE( CONTROL!$C$15, $D$11, 100%, $F$11)</f>
        <v>15.934799999999999</v>
      </c>
      <c r="E579" s="12">
        <f>15.9396 * CHOOSE( CONTROL!$C$15, $D$11, 100%, $F$11)</f>
        <v>15.9396</v>
      </c>
      <c r="F579" s="4">
        <f>16.9348 * CHOOSE(CONTROL!$C$15, $D$11, 100%, $F$11)</f>
        <v>16.934799999999999</v>
      </c>
      <c r="G579" s="8">
        <f>15.5517 * CHOOSE( CONTROL!$C$15, $D$11, 100%, $F$11)</f>
        <v>15.5517</v>
      </c>
      <c r="H579" s="4">
        <f>16.4313 * CHOOSE(CONTROL!$C$15, $D$11, 100%, $F$11)</f>
        <v>16.4313</v>
      </c>
      <c r="I579" s="8">
        <f>15.3799 * CHOOSE(CONTROL!$C$15, $D$11, 100%, $F$11)</f>
        <v>15.379899999999999</v>
      </c>
      <c r="J579" s="4">
        <f>15.2695 * CHOOSE(CONTROL!$C$15, $D$11, 100%, $F$11)</f>
        <v>15.269500000000001</v>
      </c>
      <c r="K579" s="4"/>
      <c r="L579" s="9">
        <v>26.515499999999999</v>
      </c>
      <c r="M579" s="9">
        <v>11.6745</v>
      </c>
      <c r="N579" s="9">
        <v>4.7850000000000001</v>
      </c>
      <c r="O579" s="9">
        <v>0.36249999999999999</v>
      </c>
      <c r="P579" s="9">
        <v>1.2522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15.9116 * CHOOSE(CONTROL!$C$15, $D$11, 100%, $F$11)</f>
        <v>15.9116</v>
      </c>
      <c r="C580" s="8">
        <f>15.9221 * CHOOSE(CONTROL!$C$15, $D$11, 100%, $F$11)</f>
        <v>15.9221</v>
      </c>
      <c r="D580" s="8">
        <f>15.9081 * CHOOSE( CONTROL!$C$15, $D$11, 100%, $F$11)</f>
        <v>15.908099999999999</v>
      </c>
      <c r="E580" s="12">
        <f>15.9121 * CHOOSE( CONTROL!$C$15, $D$11, 100%, $F$11)</f>
        <v>15.912100000000001</v>
      </c>
      <c r="F580" s="4">
        <f>16.9058 * CHOOSE(CONTROL!$C$15, $D$11, 100%, $F$11)</f>
        <v>16.905799999999999</v>
      </c>
      <c r="G580" s="8">
        <f>15.5252 * CHOOSE( CONTROL!$C$15, $D$11, 100%, $F$11)</f>
        <v>15.5252</v>
      </c>
      <c r="H580" s="4">
        <f>16.4031 * CHOOSE(CONTROL!$C$15, $D$11, 100%, $F$11)</f>
        <v>16.403099999999998</v>
      </c>
      <c r="I580" s="8">
        <f>15.3597 * CHOOSE(CONTROL!$C$15, $D$11, 100%, $F$11)</f>
        <v>15.3597</v>
      </c>
      <c r="J580" s="4">
        <f>15.2418 * CHOOSE(CONTROL!$C$15, $D$11, 100%, $F$11)</f>
        <v>15.2418</v>
      </c>
      <c r="K580" s="4"/>
      <c r="L580" s="9">
        <v>27.3993</v>
      </c>
      <c r="M580" s="9">
        <v>12.063700000000001</v>
      </c>
      <c r="N580" s="9">
        <v>4.9444999999999997</v>
      </c>
      <c r="O580" s="9">
        <v>0.37459999999999999</v>
      </c>
      <c r="P580" s="9">
        <v>1.2939000000000001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16.5196 * CHOOSE(CONTROL!$C$15, $D$11, 100%, $F$11)</f>
        <v>16.519600000000001</v>
      </c>
      <c r="C581" s="8">
        <f>16.53 * CHOOSE(CONTROL!$C$15, $D$11, 100%, $F$11)</f>
        <v>16.53</v>
      </c>
      <c r="D581" s="8">
        <f>16.5293 * CHOOSE( CONTROL!$C$15, $D$11, 100%, $F$11)</f>
        <v>16.529299999999999</v>
      </c>
      <c r="E581" s="12">
        <f>16.5284 * CHOOSE( CONTROL!$C$15, $D$11, 100%, $F$11)</f>
        <v>16.528400000000001</v>
      </c>
      <c r="F581" s="4">
        <f>17.5425 * CHOOSE(CONTROL!$C$15, $D$11, 100%, $F$11)</f>
        <v>17.5425</v>
      </c>
      <c r="G581" s="8">
        <f>16.1314 * CHOOSE( CONTROL!$C$15, $D$11, 100%, $F$11)</f>
        <v>16.131399999999999</v>
      </c>
      <c r="H581" s="4">
        <f>17.0237 * CHOOSE(CONTROL!$C$15, $D$11, 100%, $F$11)</f>
        <v>17.023700000000002</v>
      </c>
      <c r="I581" s="8">
        <f>15.9408 * CHOOSE(CONTROL!$C$15, $D$11, 100%, $F$11)</f>
        <v>15.940799999999999</v>
      </c>
      <c r="J581" s="4">
        <f>15.8243 * CHOOSE(CONTROL!$C$15, $D$11, 100%, $F$11)</f>
        <v>15.824299999999999</v>
      </c>
      <c r="K581" s="4"/>
      <c r="L581" s="9">
        <v>27.3993</v>
      </c>
      <c r="M581" s="9">
        <v>12.063700000000001</v>
      </c>
      <c r="N581" s="9">
        <v>4.9444999999999997</v>
      </c>
      <c r="O581" s="9">
        <v>0.37459999999999999</v>
      </c>
      <c r="P581" s="9">
        <v>1.2939000000000001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15.4519 * CHOOSE(CONTROL!$C$15, $D$11, 100%, $F$11)</f>
        <v>15.4519</v>
      </c>
      <c r="C582" s="8">
        <f>15.4624 * CHOOSE(CONTROL!$C$15, $D$11, 100%, $F$11)</f>
        <v>15.462400000000001</v>
      </c>
      <c r="D582" s="8">
        <f>15.4639 * CHOOSE( CONTROL!$C$15, $D$11, 100%, $F$11)</f>
        <v>15.463900000000001</v>
      </c>
      <c r="E582" s="12">
        <f>15.4622 * CHOOSE( CONTROL!$C$15, $D$11, 100%, $F$11)</f>
        <v>15.462199999999999</v>
      </c>
      <c r="F582" s="4">
        <f>16.467 * CHOOSE(CONTROL!$C$15, $D$11, 100%, $F$11)</f>
        <v>16.466999999999999</v>
      </c>
      <c r="G582" s="8">
        <f>15.0904 * CHOOSE( CONTROL!$C$15, $D$11, 100%, $F$11)</f>
        <v>15.090400000000001</v>
      </c>
      <c r="H582" s="4">
        <f>15.9753 * CHOOSE(CONTROL!$C$15, $D$11, 100%, $F$11)</f>
        <v>15.975300000000001</v>
      </c>
      <c r="I582" s="8">
        <f>14.9063 * CHOOSE(CONTROL!$C$15, $D$11, 100%, $F$11)</f>
        <v>14.9063</v>
      </c>
      <c r="J582" s="4">
        <f>14.8013 * CHOOSE(CONTROL!$C$15, $D$11, 100%, $F$11)</f>
        <v>14.801299999999999</v>
      </c>
      <c r="K582" s="4"/>
      <c r="L582" s="9">
        <v>24.747800000000002</v>
      </c>
      <c r="M582" s="9">
        <v>10.8962</v>
      </c>
      <c r="N582" s="9">
        <v>4.4660000000000002</v>
      </c>
      <c r="O582" s="9">
        <v>0.33829999999999999</v>
      </c>
      <c r="P582" s="9">
        <v>1.1687000000000001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15.1231 * CHOOSE(CONTROL!$C$15, $D$11, 100%, $F$11)</f>
        <v>15.123100000000001</v>
      </c>
      <c r="C583" s="8">
        <f>15.1335 * CHOOSE(CONTROL!$C$15, $D$11, 100%, $F$11)</f>
        <v>15.1335</v>
      </c>
      <c r="D583" s="8">
        <f>15.1146 * CHOOSE( CONTROL!$C$15, $D$11, 100%, $F$11)</f>
        <v>15.114599999999999</v>
      </c>
      <c r="E583" s="12">
        <f>15.1204 * CHOOSE( CONTROL!$C$15, $D$11, 100%, $F$11)</f>
        <v>15.1204</v>
      </c>
      <c r="F583" s="4">
        <f>16.122 * CHOOSE(CONTROL!$C$15, $D$11, 100%, $F$11)</f>
        <v>16.122</v>
      </c>
      <c r="G583" s="8">
        <f>14.7492 * CHOOSE( CONTROL!$C$15, $D$11, 100%, $F$11)</f>
        <v>14.7492</v>
      </c>
      <c r="H583" s="4">
        <f>15.639 * CHOOSE(CONTROL!$C$15, $D$11, 100%, $F$11)</f>
        <v>15.638999999999999</v>
      </c>
      <c r="I583" s="8">
        <f>14.5516 * CHOOSE(CONTROL!$C$15, $D$11, 100%, $F$11)</f>
        <v>14.551600000000001</v>
      </c>
      <c r="J583" s="4">
        <f>14.4862 * CHOOSE(CONTROL!$C$15, $D$11, 100%, $F$11)</f>
        <v>14.4862</v>
      </c>
      <c r="K583" s="4"/>
      <c r="L583" s="9">
        <v>27.3993</v>
      </c>
      <c r="M583" s="9">
        <v>12.063700000000001</v>
      </c>
      <c r="N583" s="9">
        <v>4.9444999999999997</v>
      </c>
      <c r="O583" s="9">
        <v>0.37459999999999999</v>
      </c>
      <c r="P583" s="9">
        <v>1.2939000000000001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15.3529 * CHOOSE(CONTROL!$C$15, $D$11, 100%, $F$11)</f>
        <v>15.3529</v>
      </c>
      <c r="C584" s="8">
        <f>15.3633 * CHOOSE(CONTROL!$C$15, $D$11, 100%, $F$11)</f>
        <v>15.363300000000001</v>
      </c>
      <c r="D584" s="8">
        <f>15.3673 * CHOOSE( CONTROL!$C$15, $D$11, 100%, $F$11)</f>
        <v>15.3673</v>
      </c>
      <c r="E584" s="12">
        <f>15.3648 * CHOOSE( CONTROL!$C$15, $D$11, 100%, $F$11)</f>
        <v>15.364800000000001</v>
      </c>
      <c r="F584" s="4">
        <f>16.3601 * CHOOSE(CONTROL!$C$15, $D$11, 100%, $F$11)</f>
        <v>16.360099999999999</v>
      </c>
      <c r="G584" s="8">
        <f>14.9615 * CHOOSE( CONTROL!$C$15, $D$11, 100%, $F$11)</f>
        <v>14.961499999999999</v>
      </c>
      <c r="H584" s="4">
        <f>15.8711 * CHOOSE(CONTROL!$C$15, $D$11, 100%, $F$11)</f>
        <v>15.8711</v>
      </c>
      <c r="I584" s="8">
        <f>14.762 * CHOOSE(CONTROL!$C$15, $D$11, 100%, $F$11)</f>
        <v>14.762</v>
      </c>
      <c r="J584" s="4">
        <f>14.7064 * CHOOSE(CONTROL!$C$15, $D$11, 100%, $F$11)</f>
        <v>14.7064</v>
      </c>
      <c r="K584" s="4"/>
      <c r="L584" s="9">
        <v>27.988800000000001</v>
      </c>
      <c r="M584" s="9">
        <v>11.6745</v>
      </c>
      <c r="N584" s="9">
        <v>4.7850000000000001</v>
      </c>
      <c r="O584" s="9">
        <v>0.36249999999999999</v>
      </c>
      <c r="P584" s="9">
        <v>1.1798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CONTROL!$C$32, 15.7671, 15.7618) * CHOOSE(CONTROL!$C$15, $D$11, 100%, $F$11)</f>
        <v>15.767099999999999</v>
      </c>
      <c r="C585" s="8">
        <f>CHOOSE( CONTROL!$C$32, 15.7775, 15.7723) * CHOOSE(CONTROL!$C$15, $D$11, 100%, $F$11)</f>
        <v>15.7775</v>
      </c>
      <c r="D585" s="8">
        <f>CHOOSE( CONTROL!$C$32, 15.7904, 15.7851) * CHOOSE( CONTROL!$C$15, $D$11, 100%, $F$11)</f>
        <v>15.7904</v>
      </c>
      <c r="E585" s="12">
        <f>CHOOSE( CONTROL!$C$32, 15.7841, 15.7789) * CHOOSE( CONTROL!$C$15, $D$11, 100%, $F$11)</f>
        <v>15.7841</v>
      </c>
      <c r="F585" s="4">
        <f>CHOOSE( CONTROL!$C$32, 16.79, 16.7847) * CHOOSE(CONTROL!$C$15, $D$11, 100%, $F$11)</f>
        <v>16.79</v>
      </c>
      <c r="G585" s="8">
        <f>CHOOSE( CONTROL!$C$32, 15.3709, 15.3658) * CHOOSE( CONTROL!$C$15, $D$11, 100%, $F$11)</f>
        <v>15.370900000000001</v>
      </c>
      <c r="H585" s="4">
        <f>CHOOSE( CONTROL!$C$32, 16.2902, 16.285) * CHOOSE(CONTROL!$C$15, $D$11, 100%, $F$11)</f>
        <v>16.290199999999999</v>
      </c>
      <c r="I585" s="8">
        <f>CHOOSE( CONTROL!$C$32, 15.1644, 15.1593) * CHOOSE(CONTROL!$C$15, $D$11, 100%, $F$11)</f>
        <v>15.164400000000001</v>
      </c>
      <c r="J585" s="4">
        <f>CHOOSE( CONTROL!$C$32, 15.1033, 15.0982) * CHOOSE(CONTROL!$C$15, $D$11, 100%, $F$11)</f>
        <v>15.103300000000001</v>
      </c>
      <c r="K585" s="4"/>
      <c r="L585" s="9">
        <v>29.520499999999998</v>
      </c>
      <c r="M585" s="9">
        <v>12.063700000000001</v>
      </c>
      <c r="N585" s="9">
        <v>4.9444999999999997</v>
      </c>
      <c r="O585" s="9">
        <v>0.37459999999999999</v>
      </c>
      <c r="P585" s="9">
        <v>1.2192000000000001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CONTROL!$C$32, 15.5138, 15.5085) * CHOOSE(CONTROL!$C$15, $D$11, 100%, $F$11)</f>
        <v>15.5138</v>
      </c>
      <c r="C586" s="8">
        <f>CHOOSE( CONTROL!$C$32, 15.5242, 15.5189) * CHOOSE(CONTROL!$C$15, $D$11, 100%, $F$11)</f>
        <v>15.5242</v>
      </c>
      <c r="D586" s="8">
        <f>CHOOSE( CONTROL!$C$32, 15.5446, 15.5394) * CHOOSE( CONTROL!$C$15, $D$11, 100%, $F$11)</f>
        <v>15.544600000000001</v>
      </c>
      <c r="E586" s="12">
        <f>CHOOSE( CONTROL!$C$32, 15.5356, 15.5304) * CHOOSE( CONTROL!$C$15, $D$11, 100%, $F$11)</f>
        <v>15.535600000000001</v>
      </c>
      <c r="F586" s="4">
        <f>CHOOSE( CONTROL!$C$32, 16.5492, 16.5439) * CHOOSE(CONTROL!$C$15, $D$11, 100%, $F$11)</f>
        <v>16.549199999999999</v>
      </c>
      <c r="G586" s="8">
        <f>CHOOSE( CONTROL!$C$32, 15.1278, 15.1227) * CHOOSE( CONTROL!$C$15, $D$11, 100%, $F$11)</f>
        <v>15.127800000000001</v>
      </c>
      <c r="H586" s="4">
        <f>CHOOSE( CONTROL!$C$32, 16.0554, 16.0503) * CHOOSE(CONTROL!$C$15, $D$11, 100%, $F$11)</f>
        <v>16.055399999999999</v>
      </c>
      <c r="I586" s="8">
        <f>CHOOSE( CONTROL!$C$32, 14.9267, 14.9217) * CHOOSE(CONTROL!$C$15, $D$11, 100%, $F$11)</f>
        <v>14.9267</v>
      </c>
      <c r="J586" s="4">
        <f>CHOOSE( CONTROL!$C$32, 14.8605, 14.8555) * CHOOSE(CONTROL!$C$15, $D$11, 100%, $F$11)</f>
        <v>14.8605</v>
      </c>
      <c r="K586" s="4"/>
      <c r="L586" s="9">
        <v>28.568200000000001</v>
      </c>
      <c r="M586" s="9">
        <v>11.6745</v>
      </c>
      <c r="N586" s="9">
        <v>4.7850000000000001</v>
      </c>
      <c r="O586" s="9">
        <v>0.36249999999999999</v>
      </c>
      <c r="P586" s="9">
        <v>1.1798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CONTROL!$C$32, 16.1809, 16.1756) * CHOOSE(CONTROL!$C$15, $D$11, 100%, $F$11)</f>
        <v>16.180900000000001</v>
      </c>
      <c r="C587" s="8">
        <f>CHOOSE( CONTROL!$C$32, 16.1913, 16.1861) * CHOOSE(CONTROL!$C$15, $D$11, 100%, $F$11)</f>
        <v>16.191299999999998</v>
      </c>
      <c r="D587" s="8">
        <f>CHOOSE( CONTROL!$C$32, 16.2019, 16.1967) * CHOOSE( CONTROL!$C$15, $D$11, 100%, $F$11)</f>
        <v>16.201899999999998</v>
      </c>
      <c r="E587" s="12">
        <f>CHOOSE( CONTROL!$C$32, 16.1965, 16.1913) * CHOOSE( CONTROL!$C$15, $D$11, 100%, $F$11)</f>
        <v>16.1965</v>
      </c>
      <c r="F587" s="4">
        <f>CHOOSE( CONTROL!$C$32, 17.2163, 17.2111) * CHOOSE(CONTROL!$C$15, $D$11, 100%, $F$11)</f>
        <v>17.2163</v>
      </c>
      <c r="G587" s="8">
        <f>CHOOSE( CONTROL!$C$32, 15.7649, 15.7597) * CHOOSE( CONTROL!$C$15, $D$11, 100%, $F$11)</f>
        <v>15.764900000000001</v>
      </c>
      <c r="H587" s="4">
        <f>CHOOSE( CONTROL!$C$32, 16.7057, 16.7006) * CHOOSE(CONTROL!$C$15, $D$11, 100%, $F$11)</f>
        <v>16.7057</v>
      </c>
      <c r="I587" s="8">
        <f>CHOOSE( CONTROL!$C$32, 15.5697, 15.5646) * CHOOSE(CONTROL!$C$15, $D$11, 100%, $F$11)</f>
        <v>15.569699999999999</v>
      </c>
      <c r="J587" s="4">
        <f>CHOOSE( CONTROL!$C$32, 15.4998, 15.4947) * CHOOSE(CONTROL!$C$15, $D$11, 100%, $F$11)</f>
        <v>15.4998</v>
      </c>
      <c r="K587" s="4"/>
      <c r="L587" s="9">
        <v>29.520499999999998</v>
      </c>
      <c r="M587" s="9">
        <v>12.063700000000001</v>
      </c>
      <c r="N587" s="9">
        <v>4.9444999999999997</v>
      </c>
      <c r="O587" s="9">
        <v>0.37459999999999999</v>
      </c>
      <c r="P587" s="9">
        <v>1.2192000000000001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CONTROL!$C$32, 14.9326, 14.9274) * CHOOSE(CONTROL!$C$15, $D$11, 100%, $F$11)</f>
        <v>14.932600000000001</v>
      </c>
      <c r="C588" s="8">
        <f>CHOOSE( CONTROL!$C$32, 14.9431, 14.9378) * CHOOSE(CONTROL!$C$15, $D$11, 100%, $F$11)</f>
        <v>14.943099999999999</v>
      </c>
      <c r="D588" s="8">
        <f>CHOOSE( CONTROL!$C$32, 14.954, 14.9487) * CHOOSE( CONTROL!$C$15, $D$11, 100%, $F$11)</f>
        <v>14.954000000000001</v>
      </c>
      <c r="E588" s="12">
        <f>CHOOSE( CONTROL!$C$32, 14.9484, 14.9432) * CHOOSE( CONTROL!$C$15, $D$11, 100%, $F$11)</f>
        <v>14.948399999999999</v>
      </c>
      <c r="F588" s="4">
        <f>CHOOSE( CONTROL!$C$32, 15.9681, 15.9628) * CHOOSE(CONTROL!$C$15, $D$11, 100%, $F$11)</f>
        <v>15.9681</v>
      </c>
      <c r="G588" s="8">
        <f>CHOOSE( CONTROL!$C$32, 14.5486, 14.5435) * CHOOSE( CONTROL!$C$15, $D$11, 100%, $F$11)</f>
        <v>14.5486</v>
      </c>
      <c r="H588" s="4">
        <f>CHOOSE( CONTROL!$C$32, 15.489, 15.4838) * CHOOSE(CONTROL!$C$15, $D$11, 100%, $F$11)</f>
        <v>15.489000000000001</v>
      </c>
      <c r="I588" s="8">
        <f>CHOOSE( CONTROL!$C$32, 14.3746, 14.3696) * CHOOSE(CONTROL!$C$15, $D$11, 100%, $F$11)</f>
        <v>14.374599999999999</v>
      </c>
      <c r="J588" s="4">
        <f>CHOOSE( CONTROL!$C$32, 14.3037, 14.2987) * CHOOSE(CONTROL!$C$15, $D$11, 100%, $F$11)</f>
        <v>14.303699999999999</v>
      </c>
      <c r="K588" s="4"/>
      <c r="L588" s="9">
        <v>29.520499999999998</v>
      </c>
      <c r="M588" s="9">
        <v>12.063700000000001</v>
      </c>
      <c r="N588" s="9">
        <v>4.9444999999999997</v>
      </c>
      <c r="O588" s="9">
        <v>0.37459999999999999</v>
      </c>
      <c r="P588" s="9">
        <v>1.2192000000000001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CONTROL!$C$32, 14.62, 14.6148) * CHOOSE(CONTROL!$C$15, $D$11, 100%, $F$11)</f>
        <v>14.62</v>
      </c>
      <c r="C589" s="8">
        <f>CHOOSE( CONTROL!$C$32, 14.6305, 14.6252) * CHOOSE(CONTROL!$C$15, $D$11, 100%, $F$11)</f>
        <v>14.6305</v>
      </c>
      <c r="D589" s="8">
        <f>CHOOSE( CONTROL!$C$32, 14.6416, 14.6363) * CHOOSE( CONTROL!$C$15, $D$11, 100%, $F$11)</f>
        <v>14.6416</v>
      </c>
      <c r="E589" s="12">
        <f>CHOOSE( CONTROL!$C$32, 14.636, 14.6307) * CHOOSE( CONTROL!$C$15, $D$11, 100%, $F$11)</f>
        <v>14.635999999999999</v>
      </c>
      <c r="F589" s="4">
        <f>CHOOSE( CONTROL!$C$32, 15.6555, 15.6502) * CHOOSE(CONTROL!$C$15, $D$11, 100%, $F$11)</f>
        <v>15.6555</v>
      </c>
      <c r="G589" s="8">
        <f>CHOOSE( CONTROL!$C$32, 14.2441, 14.239) * CHOOSE( CONTROL!$C$15, $D$11, 100%, $F$11)</f>
        <v>14.2441</v>
      </c>
      <c r="H589" s="4">
        <f>CHOOSE( CONTROL!$C$32, 15.1843, 15.1791) * CHOOSE(CONTROL!$C$15, $D$11, 100%, $F$11)</f>
        <v>15.1843</v>
      </c>
      <c r="I589" s="8">
        <f>CHOOSE( CONTROL!$C$32, 14.0756, 14.0706) * CHOOSE(CONTROL!$C$15, $D$11, 100%, $F$11)</f>
        <v>14.0756</v>
      </c>
      <c r="J589" s="4">
        <f>CHOOSE( CONTROL!$C$32, 14.0042, 13.9991) * CHOOSE(CONTROL!$C$15, $D$11, 100%, $F$11)</f>
        <v>14.004200000000001</v>
      </c>
      <c r="K589" s="4"/>
      <c r="L589" s="9">
        <v>28.568200000000001</v>
      </c>
      <c r="M589" s="9">
        <v>11.6745</v>
      </c>
      <c r="N589" s="9">
        <v>4.7850000000000001</v>
      </c>
      <c r="O589" s="9">
        <v>0.36249999999999999</v>
      </c>
      <c r="P589" s="9">
        <v>1.1798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15.2638 * CHOOSE(CONTROL!$C$15, $D$11, 100%, $F$11)</f>
        <v>15.2638</v>
      </c>
      <c r="C590" s="8">
        <f>15.2742 * CHOOSE(CONTROL!$C$15, $D$11, 100%, $F$11)</f>
        <v>15.2742</v>
      </c>
      <c r="D590" s="8">
        <f>15.2866 * CHOOSE( CONTROL!$C$15, $D$11, 100%, $F$11)</f>
        <v>15.2866</v>
      </c>
      <c r="E590" s="12">
        <f>15.2814 * CHOOSE( CONTROL!$C$15, $D$11, 100%, $F$11)</f>
        <v>15.2814</v>
      </c>
      <c r="F590" s="4">
        <f>16.2992 * CHOOSE(CONTROL!$C$15, $D$11, 100%, $F$11)</f>
        <v>16.299199999999999</v>
      </c>
      <c r="G590" s="8">
        <f>14.871 * CHOOSE( CONTROL!$C$15, $D$11, 100%, $F$11)</f>
        <v>14.871</v>
      </c>
      <c r="H590" s="4">
        <f>15.8118 * CHOOSE(CONTROL!$C$15, $D$11, 100%, $F$11)</f>
        <v>15.8118</v>
      </c>
      <c r="I590" s="8">
        <f>14.6942 * CHOOSE(CONTROL!$C$15, $D$11, 100%, $F$11)</f>
        <v>14.6942</v>
      </c>
      <c r="J590" s="4">
        <f>14.621 * CHOOSE(CONTROL!$C$15, $D$11, 100%, $F$11)</f>
        <v>14.621</v>
      </c>
      <c r="K590" s="4"/>
      <c r="L590" s="9">
        <v>28.921800000000001</v>
      </c>
      <c r="M590" s="9">
        <v>12.063700000000001</v>
      </c>
      <c r="N590" s="9">
        <v>4.9444999999999997</v>
      </c>
      <c r="O590" s="9">
        <v>0.37459999999999999</v>
      </c>
      <c r="P590" s="9">
        <v>1.2192000000000001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16.4618 * CHOOSE(CONTROL!$C$15, $D$11, 100%, $F$11)</f>
        <v>16.4618</v>
      </c>
      <c r="C591" s="8">
        <f>16.4722 * CHOOSE(CONTROL!$C$15, $D$11, 100%, $F$11)</f>
        <v>16.472200000000001</v>
      </c>
      <c r="D591" s="8">
        <f>16.456 * CHOOSE( CONTROL!$C$15, $D$11, 100%, $F$11)</f>
        <v>16.456</v>
      </c>
      <c r="E591" s="12">
        <f>16.4608 * CHOOSE( CONTROL!$C$15, $D$11, 100%, $F$11)</f>
        <v>16.460799999999999</v>
      </c>
      <c r="F591" s="4">
        <f>17.456 * CHOOSE(CONTROL!$C$15, $D$11, 100%, $F$11)</f>
        <v>17.456</v>
      </c>
      <c r="G591" s="8">
        <f>16.0597 * CHOOSE( CONTROL!$C$15, $D$11, 100%, $F$11)</f>
        <v>16.059699999999999</v>
      </c>
      <c r="H591" s="4">
        <f>16.9393 * CHOOSE(CONTROL!$C$15, $D$11, 100%, $F$11)</f>
        <v>16.939299999999999</v>
      </c>
      <c r="I591" s="8">
        <f>15.8795 * CHOOSE(CONTROL!$C$15, $D$11, 100%, $F$11)</f>
        <v>15.8795</v>
      </c>
      <c r="J591" s="4">
        <f>15.7689 * CHOOSE(CONTROL!$C$15, $D$11, 100%, $F$11)</f>
        <v>15.7689</v>
      </c>
      <c r="K591" s="4"/>
      <c r="L591" s="9">
        <v>26.515499999999999</v>
      </c>
      <c r="M591" s="9">
        <v>11.6745</v>
      </c>
      <c r="N591" s="9">
        <v>4.7850000000000001</v>
      </c>
      <c r="O591" s="9">
        <v>0.36249999999999999</v>
      </c>
      <c r="P591" s="9">
        <v>1.2522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16.4318 * CHOOSE(CONTROL!$C$15, $D$11, 100%, $F$11)</f>
        <v>16.431799999999999</v>
      </c>
      <c r="C592" s="8">
        <f>16.4423 * CHOOSE(CONTROL!$C$15, $D$11, 100%, $F$11)</f>
        <v>16.442299999999999</v>
      </c>
      <c r="D592" s="8">
        <f>16.4283 * CHOOSE( CONTROL!$C$15, $D$11, 100%, $F$11)</f>
        <v>16.4283</v>
      </c>
      <c r="E592" s="12">
        <f>16.4323 * CHOOSE( CONTROL!$C$15, $D$11, 100%, $F$11)</f>
        <v>16.432300000000001</v>
      </c>
      <c r="F592" s="4">
        <f>17.426 * CHOOSE(CONTROL!$C$15, $D$11, 100%, $F$11)</f>
        <v>17.425999999999998</v>
      </c>
      <c r="G592" s="8">
        <f>16.0323 * CHOOSE( CONTROL!$C$15, $D$11, 100%, $F$11)</f>
        <v>16.032299999999999</v>
      </c>
      <c r="H592" s="4">
        <f>16.9102 * CHOOSE(CONTROL!$C$15, $D$11, 100%, $F$11)</f>
        <v>16.9102</v>
      </c>
      <c r="I592" s="8">
        <f>15.8584 * CHOOSE(CONTROL!$C$15, $D$11, 100%, $F$11)</f>
        <v>15.8584</v>
      </c>
      <c r="J592" s="4">
        <f>15.7402 * CHOOSE(CONTROL!$C$15, $D$11, 100%, $F$11)</f>
        <v>15.7402</v>
      </c>
      <c r="K592" s="4"/>
      <c r="L592" s="9">
        <v>27.3993</v>
      </c>
      <c r="M592" s="9">
        <v>12.063700000000001</v>
      </c>
      <c r="N592" s="9">
        <v>4.9444999999999997</v>
      </c>
      <c r="O592" s="9">
        <v>0.37459999999999999</v>
      </c>
      <c r="P592" s="9">
        <v>1.2939000000000001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17.0597 * CHOOSE(CONTROL!$C$15, $D$11, 100%, $F$11)</f>
        <v>17.059699999999999</v>
      </c>
      <c r="C593" s="8">
        <f>17.0701 * CHOOSE(CONTROL!$C$15, $D$11, 100%, $F$11)</f>
        <v>17.0701</v>
      </c>
      <c r="D593" s="8">
        <f>17.0694 * CHOOSE( CONTROL!$C$15, $D$11, 100%, $F$11)</f>
        <v>17.069400000000002</v>
      </c>
      <c r="E593" s="12">
        <f>17.0685 * CHOOSE( CONTROL!$C$15, $D$11, 100%, $F$11)</f>
        <v>17.0685</v>
      </c>
      <c r="F593" s="4">
        <f>18.0826 * CHOOSE(CONTROL!$C$15, $D$11, 100%, $F$11)</f>
        <v>18.082599999999999</v>
      </c>
      <c r="G593" s="8">
        <f>16.6578 * CHOOSE( CONTROL!$C$15, $D$11, 100%, $F$11)</f>
        <v>16.657800000000002</v>
      </c>
      <c r="H593" s="4">
        <f>17.5501 * CHOOSE(CONTROL!$C$15, $D$11, 100%, $F$11)</f>
        <v>17.5501</v>
      </c>
      <c r="I593" s="8">
        <f>16.4586 * CHOOSE(CONTROL!$C$15, $D$11, 100%, $F$11)</f>
        <v>16.458600000000001</v>
      </c>
      <c r="J593" s="4">
        <f>16.3418 * CHOOSE(CONTROL!$C$15, $D$11, 100%, $F$11)</f>
        <v>16.341799999999999</v>
      </c>
      <c r="K593" s="4"/>
      <c r="L593" s="9">
        <v>27.3993</v>
      </c>
      <c r="M593" s="9">
        <v>12.063700000000001</v>
      </c>
      <c r="N593" s="9">
        <v>4.9444999999999997</v>
      </c>
      <c r="O593" s="9">
        <v>0.37459999999999999</v>
      </c>
      <c r="P593" s="9">
        <v>1.2939000000000001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15.9571 * CHOOSE(CONTROL!$C$15, $D$11, 100%, $F$11)</f>
        <v>15.957100000000001</v>
      </c>
      <c r="C594" s="8">
        <f>15.9675 * CHOOSE(CONTROL!$C$15, $D$11, 100%, $F$11)</f>
        <v>15.967499999999999</v>
      </c>
      <c r="D594" s="8">
        <f>15.9691 * CHOOSE( CONTROL!$C$15, $D$11, 100%, $F$11)</f>
        <v>15.969099999999999</v>
      </c>
      <c r="E594" s="12">
        <f>15.9674 * CHOOSE( CONTROL!$C$15, $D$11, 100%, $F$11)</f>
        <v>15.9674</v>
      </c>
      <c r="F594" s="4">
        <f>16.9722 * CHOOSE(CONTROL!$C$15, $D$11, 100%, $F$11)</f>
        <v>16.972200000000001</v>
      </c>
      <c r="G594" s="8">
        <f>15.5829 * CHOOSE( CONTROL!$C$15, $D$11, 100%, $F$11)</f>
        <v>15.5829</v>
      </c>
      <c r="H594" s="4">
        <f>16.4678 * CHOOSE(CONTROL!$C$15, $D$11, 100%, $F$11)</f>
        <v>16.4678</v>
      </c>
      <c r="I594" s="8">
        <f>15.3906 * CHOOSE(CONTROL!$C$15, $D$11, 100%, $F$11)</f>
        <v>15.390599999999999</v>
      </c>
      <c r="J594" s="4">
        <f>15.2853 * CHOOSE(CONTROL!$C$15, $D$11, 100%, $F$11)</f>
        <v>15.285299999999999</v>
      </c>
      <c r="K594" s="4"/>
      <c r="L594" s="9">
        <v>25.631599999999999</v>
      </c>
      <c r="M594" s="9">
        <v>11.285299999999999</v>
      </c>
      <c r="N594" s="9">
        <v>4.6254999999999997</v>
      </c>
      <c r="O594" s="9">
        <v>0.35039999999999999</v>
      </c>
      <c r="P594" s="9">
        <v>1.2104999999999999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15.6175 * CHOOSE(CONTROL!$C$15, $D$11, 100%, $F$11)</f>
        <v>15.6175</v>
      </c>
      <c r="C595" s="8">
        <f>15.628 * CHOOSE(CONTROL!$C$15, $D$11, 100%, $F$11)</f>
        <v>15.628</v>
      </c>
      <c r="D595" s="8">
        <f>15.609 * CHOOSE( CONTROL!$C$15, $D$11, 100%, $F$11)</f>
        <v>15.609</v>
      </c>
      <c r="E595" s="12">
        <f>15.6148 * CHOOSE( CONTROL!$C$15, $D$11, 100%, $F$11)</f>
        <v>15.614800000000001</v>
      </c>
      <c r="F595" s="4">
        <f>16.6164 * CHOOSE(CONTROL!$C$15, $D$11, 100%, $F$11)</f>
        <v>16.616399999999999</v>
      </c>
      <c r="G595" s="8">
        <f>15.2311 * CHOOSE( CONTROL!$C$15, $D$11, 100%, $F$11)</f>
        <v>15.2311</v>
      </c>
      <c r="H595" s="4">
        <f>16.121 * CHOOSE(CONTROL!$C$15, $D$11, 100%, $F$11)</f>
        <v>16.120999999999999</v>
      </c>
      <c r="I595" s="8">
        <f>15.0256 * CHOOSE(CONTROL!$C$15, $D$11, 100%, $F$11)</f>
        <v>15.025600000000001</v>
      </c>
      <c r="J595" s="4">
        <f>14.96 * CHOOSE(CONTROL!$C$15, $D$11, 100%, $F$11)</f>
        <v>14.96</v>
      </c>
      <c r="K595" s="4"/>
      <c r="L595" s="9">
        <v>27.3993</v>
      </c>
      <c r="M595" s="9">
        <v>12.063700000000001</v>
      </c>
      <c r="N595" s="9">
        <v>4.9444999999999997</v>
      </c>
      <c r="O595" s="9">
        <v>0.37459999999999999</v>
      </c>
      <c r="P595" s="9">
        <v>1.2939000000000001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15.8548 * CHOOSE(CONTROL!$C$15, $D$11, 100%, $F$11)</f>
        <v>15.854799999999999</v>
      </c>
      <c r="C596" s="8">
        <f>15.8653 * CHOOSE(CONTROL!$C$15, $D$11, 100%, $F$11)</f>
        <v>15.8653</v>
      </c>
      <c r="D596" s="8">
        <f>15.8693 * CHOOSE( CONTROL!$C$15, $D$11, 100%, $F$11)</f>
        <v>15.869300000000001</v>
      </c>
      <c r="E596" s="12">
        <f>15.8668 * CHOOSE( CONTROL!$C$15, $D$11, 100%, $F$11)</f>
        <v>15.8668</v>
      </c>
      <c r="F596" s="4">
        <f>16.8621 * CHOOSE(CONTROL!$C$15, $D$11, 100%, $F$11)</f>
        <v>16.862100000000002</v>
      </c>
      <c r="G596" s="8">
        <f>15.4508 * CHOOSE( CONTROL!$C$15, $D$11, 100%, $F$11)</f>
        <v>15.450799999999999</v>
      </c>
      <c r="H596" s="4">
        <f>16.3604 * CHOOSE(CONTROL!$C$15, $D$11, 100%, $F$11)</f>
        <v>16.360399999999998</v>
      </c>
      <c r="I596" s="8">
        <f>15.2432 * CHOOSE(CONTROL!$C$15, $D$11, 100%, $F$11)</f>
        <v>15.2432</v>
      </c>
      <c r="J596" s="4">
        <f>15.1873 * CHOOSE(CONTROL!$C$15, $D$11, 100%, $F$11)</f>
        <v>15.1873</v>
      </c>
      <c r="K596" s="4"/>
      <c r="L596" s="9">
        <v>27.988800000000001</v>
      </c>
      <c r="M596" s="9">
        <v>11.6745</v>
      </c>
      <c r="N596" s="9">
        <v>4.7850000000000001</v>
      </c>
      <c r="O596" s="9">
        <v>0.36249999999999999</v>
      </c>
      <c r="P596" s="9">
        <v>1.1798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CONTROL!$C$32, 16.2824, 16.2771) * CHOOSE(CONTROL!$C$15, $D$11, 100%, $F$11)</f>
        <v>16.282399999999999</v>
      </c>
      <c r="C597" s="8">
        <f>CHOOSE( CONTROL!$C$32, 16.2928, 16.2876) * CHOOSE(CONTROL!$C$15, $D$11, 100%, $F$11)</f>
        <v>16.2928</v>
      </c>
      <c r="D597" s="8">
        <f>CHOOSE( CONTROL!$C$32, 16.3057, 16.3004) * CHOOSE( CONTROL!$C$15, $D$11, 100%, $F$11)</f>
        <v>16.305700000000002</v>
      </c>
      <c r="E597" s="12">
        <f>CHOOSE( CONTROL!$C$32, 16.2994, 16.2942) * CHOOSE( CONTROL!$C$15, $D$11, 100%, $F$11)</f>
        <v>16.299399999999999</v>
      </c>
      <c r="F597" s="4">
        <f>CHOOSE( CONTROL!$C$32, 17.3053, 17.3001) * CHOOSE(CONTROL!$C$15, $D$11, 100%, $F$11)</f>
        <v>17.305299999999999</v>
      </c>
      <c r="G597" s="8">
        <f>CHOOSE( CONTROL!$C$32, 15.8732, 15.8681) * CHOOSE( CONTROL!$C$15, $D$11, 100%, $F$11)</f>
        <v>15.873200000000001</v>
      </c>
      <c r="H597" s="4">
        <f>CHOOSE( CONTROL!$C$32, 16.7925, 16.7874) * CHOOSE(CONTROL!$C$15, $D$11, 100%, $F$11)</f>
        <v>16.7925</v>
      </c>
      <c r="I597" s="8">
        <f>CHOOSE( CONTROL!$C$32, 15.6584, 15.6534) * CHOOSE(CONTROL!$C$15, $D$11, 100%, $F$11)</f>
        <v>15.6584</v>
      </c>
      <c r="J597" s="4">
        <f>CHOOSE( CONTROL!$C$32, 15.597, 15.592) * CHOOSE(CONTROL!$C$15, $D$11, 100%, $F$11)</f>
        <v>15.597</v>
      </c>
      <c r="K597" s="4"/>
      <c r="L597" s="9">
        <v>29.520499999999998</v>
      </c>
      <c r="M597" s="9">
        <v>12.063700000000001</v>
      </c>
      <c r="N597" s="9">
        <v>4.9444999999999997</v>
      </c>
      <c r="O597" s="9">
        <v>0.37459999999999999</v>
      </c>
      <c r="P597" s="9">
        <v>1.2192000000000001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CONTROL!$C$32, 16.0208, 16.0155) * CHOOSE(CONTROL!$C$15, $D$11, 100%, $F$11)</f>
        <v>16.020800000000001</v>
      </c>
      <c r="C598" s="8">
        <f>CHOOSE( CONTROL!$C$32, 16.0312, 16.026) * CHOOSE(CONTROL!$C$15, $D$11, 100%, $F$11)</f>
        <v>16.031199999999998</v>
      </c>
      <c r="D598" s="8">
        <f>CHOOSE( CONTROL!$C$32, 16.0517, 16.0464) * CHOOSE( CONTROL!$C$15, $D$11, 100%, $F$11)</f>
        <v>16.0517</v>
      </c>
      <c r="E598" s="12">
        <f>CHOOSE( CONTROL!$C$32, 16.0427, 16.0374) * CHOOSE( CONTROL!$C$15, $D$11, 100%, $F$11)</f>
        <v>16.0427</v>
      </c>
      <c r="F598" s="4">
        <f>CHOOSE( CONTROL!$C$32, 17.0562, 17.051) * CHOOSE(CONTROL!$C$15, $D$11, 100%, $F$11)</f>
        <v>17.0562</v>
      </c>
      <c r="G598" s="8">
        <f>CHOOSE( CONTROL!$C$32, 15.6221, 15.6169) * CHOOSE( CONTROL!$C$15, $D$11, 100%, $F$11)</f>
        <v>15.6221</v>
      </c>
      <c r="H598" s="4">
        <f>CHOOSE( CONTROL!$C$32, 16.5497, 16.5445) * CHOOSE(CONTROL!$C$15, $D$11, 100%, $F$11)</f>
        <v>16.549700000000001</v>
      </c>
      <c r="I598" s="8">
        <f>CHOOSE( CONTROL!$C$32, 15.4128, 15.4078) * CHOOSE(CONTROL!$C$15, $D$11, 100%, $F$11)</f>
        <v>15.412800000000001</v>
      </c>
      <c r="J598" s="4">
        <f>CHOOSE( CONTROL!$C$32, 15.3464, 15.3413) * CHOOSE(CONTROL!$C$15, $D$11, 100%, $F$11)</f>
        <v>15.346399999999999</v>
      </c>
      <c r="K598" s="4"/>
      <c r="L598" s="9">
        <v>28.568200000000001</v>
      </c>
      <c r="M598" s="9">
        <v>11.6745</v>
      </c>
      <c r="N598" s="9">
        <v>4.7850000000000001</v>
      </c>
      <c r="O598" s="9">
        <v>0.36249999999999999</v>
      </c>
      <c r="P598" s="9">
        <v>1.1798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CONTROL!$C$32, 16.7097, 16.7045) * CHOOSE(CONTROL!$C$15, $D$11, 100%, $F$11)</f>
        <v>16.709700000000002</v>
      </c>
      <c r="C599" s="8">
        <f>CHOOSE( CONTROL!$C$32, 16.7202, 16.7149) * CHOOSE(CONTROL!$C$15, $D$11, 100%, $F$11)</f>
        <v>16.720199999999998</v>
      </c>
      <c r="D599" s="8">
        <f>CHOOSE( CONTROL!$C$32, 16.7308, 16.7255) * CHOOSE( CONTROL!$C$15, $D$11, 100%, $F$11)</f>
        <v>16.730799999999999</v>
      </c>
      <c r="E599" s="12">
        <f>CHOOSE( CONTROL!$C$32, 16.7254, 16.7201) * CHOOSE( CONTROL!$C$15, $D$11, 100%, $F$11)</f>
        <v>16.7254</v>
      </c>
      <c r="F599" s="4">
        <f>CHOOSE( CONTROL!$C$32, 17.7452, 17.7399) * CHOOSE(CONTROL!$C$15, $D$11, 100%, $F$11)</f>
        <v>17.745200000000001</v>
      </c>
      <c r="G599" s="8">
        <f>CHOOSE( CONTROL!$C$32, 16.2804, 16.2752) * CHOOSE( CONTROL!$C$15, $D$11, 100%, $F$11)</f>
        <v>16.2804</v>
      </c>
      <c r="H599" s="4">
        <f>CHOOSE( CONTROL!$C$32, 17.2212, 17.2161) * CHOOSE(CONTROL!$C$15, $D$11, 100%, $F$11)</f>
        <v>17.2212</v>
      </c>
      <c r="I599" s="8">
        <f>CHOOSE( CONTROL!$C$32, 16.0767, 16.0716) * CHOOSE(CONTROL!$C$15, $D$11, 100%, $F$11)</f>
        <v>16.076699999999999</v>
      </c>
      <c r="J599" s="4">
        <f>CHOOSE( CONTROL!$C$32, 16.0065, 16.0015) * CHOOSE(CONTROL!$C$15, $D$11, 100%, $F$11)</f>
        <v>16.006499999999999</v>
      </c>
      <c r="K599" s="4"/>
      <c r="L599" s="9">
        <v>29.520499999999998</v>
      </c>
      <c r="M599" s="9">
        <v>12.063700000000001</v>
      </c>
      <c r="N599" s="9">
        <v>4.9444999999999997</v>
      </c>
      <c r="O599" s="9">
        <v>0.37459999999999999</v>
      </c>
      <c r="P599" s="9">
        <v>1.2192000000000001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CONTROL!$C$32, 15.4206, 15.4154) * CHOOSE(CONTROL!$C$15, $D$11, 100%, $F$11)</f>
        <v>15.4206</v>
      </c>
      <c r="C600" s="8">
        <f>CHOOSE( CONTROL!$C$32, 15.4311, 15.4258) * CHOOSE(CONTROL!$C$15, $D$11, 100%, $F$11)</f>
        <v>15.431100000000001</v>
      </c>
      <c r="D600" s="8">
        <f>CHOOSE( CONTROL!$C$32, 15.442, 15.4368) * CHOOSE( CONTROL!$C$15, $D$11, 100%, $F$11)</f>
        <v>15.442</v>
      </c>
      <c r="E600" s="12">
        <f>CHOOSE( CONTROL!$C$32, 15.4364, 15.4312) * CHOOSE( CONTROL!$C$15, $D$11, 100%, $F$11)</f>
        <v>15.436400000000001</v>
      </c>
      <c r="F600" s="4">
        <f>CHOOSE( CONTROL!$C$32, 16.4561, 16.4508) * CHOOSE(CONTROL!$C$15, $D$11, 100%, $F$11)</f>
        <v>16.456099999999999</v>
      </c>
      <c r="G600" s="8">
        <f>CHOOSE( CONTROL!$C$32, 15.0243, 15.0192) * CHOOSE( CONTROL!$C$15, $D$11, 100%, $F$11)</f>
        <v>15.0243</v>
      </c>
      <c r="H600" s="4">
        <f>CHOOSE( CONTROL!$C$32, 15.9647, 15.9595) * CHOOSE(CONTROL!$C$15, $D$11, 100%, $F$11)</f>
        <v>15.964700000000001</v>
      </c>
      <c r="I600" s="8">
        <f>CHOOSE( CONTROL!$C$32, 14.8425, 14.8374) * CHOOSE(CONTROL!$C$15, $D$11, 100%, $F$11)</f>
        <v>14.842499999999999</v>
      </c>
      <c r="J600" s="4">
        <f>CHOOSE( CONTROL!$C$32, 14.7713, 14.7663) * CHOOSE(CONTROL!$C$15, $D$11, 100%, $F$11)</f>
        <v>14.7713</v>
      </c>
      <c r="K600" s="4"/>
      <c r="L600" s="9">
        <v>29.520499999999998</v>
      </c>
      <c r="M600" s="9">
        <v>12.063700000000001</v>
      </c>
      <c r="N600" s="9">
        <v>4.9444999999999997</v>
      </c>
      <c r="O600" s="9">
        <v>0.37459999999999999</v>
      </c>
      <c r="P600" s="9">
        <v>1.2192000000000001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CONTROL!$C$32, 15.0978, 15.0926) * CHOOSE(CONTROL!$C$15, $D$11, 100%, $F$11)</f>
        <v>15.097799999999999</v>
      </c>
      <c r="C601" s="8">
        <f>CHOOSE( CONTROL!$C$32, 15.1083, 15.103) * CHOOSE(CONTROL!$C$15, $D$11, 100%, $F$11)</f>
        <v>15.1083</v>
      </c>
      <c r="D601" s="8">
        <f>CHOOSE( CONTROL!$C$32, 15.1194, 15.1141) * CHOOSE( CONTROL!$C$15, $D$11, 100%, $F$11)</f>
        <v>15.119400000000001</v>
      </c>
      <c r="E601" s="12">
        <f>CHOOSE( CONTROL!$C$32, 15.1138, 15.1085) * CHOOSE( CONTROL!$C$15, $D$11, 100%, $F$11)</f>
        <v>15.113799999999999</v>
      </c>
      <c r="F601" s="4">
        <f>CHOOSE( CONTROL!$C$32, 16.1333, 16.128) * CHOOSE(CONTROL!$C$15, $D$11, 100%, $F$11)</f>
        <v>16.133299999999998</v>
      </c>
      <c r="G601" s="8">
        <f>CHOOSE( CONTROL!$C$32, 14.7099, 14.7047) * CHOOSE( CONTROL!$C$15, $D$11, 100%, $F$11)</f>
        <v>14.709899999999999</v>
      </c>
      <c r="H601" s="4">
        <f>CHOOSE( CONTROL!$C$32, 15.65, 15.6449) * CHOOSE(CONTROL!$C$15, $D$11, 100%, $F$11)</f>
        <v>15.65</v>
      </c>
      <c r="I601" s="8">
        <f>CHOOSE( CONTROL!$C$32, 14.5337, 14.5287) * CHOOSE(CONTROL!$C$15, $D$11, 100%, $F$11)</f>
        <v>14.5337</v>
      </c>
      <c r="J601" s="4">
        <f>CHOOSE( CONTROL!$C$32, 14.462, 14.457) * CHOOSE(CONTROL!$C$15, $D$11, 100%, $F$11)</f>
        <v>14.462</v>
      </c>
      <c r="K601" s="4"/>
      <c r="L601" s="9">
        <v>28.568200000000001</v>
      </c>
      <c r="M601" s="9">
        <v>11.6745</v>
      </c>
      <c r="N601" s="9">
        <v>4.7850000000000001</v>
      </c>
      <c r="O601" s="9">
        <v>0.36249999999999999</v>
      </c>
      <c r="P601" s="9">
        <v>1.1798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15.7628 * CHOOSE(CONTROL!$C$15, $D$11, 100%, $F$11)</f>
        <v>15.7628</v>
      </c>
      <c r="C602" s="8">
        <f>15.7733 * CHOOSE(CONTROL!$C$15, $D$11, 100%, $F$11)</f>
        <v>15.773300000000001</v>
      </c>
      <c r="D602" s="8">
        <f>15.7856 * CHOOSE( CONTROL!$C$15, $D$11, 100%, $F$11)</f>
        <v>15.785600000000001</v>
      </c>
      <c r="E602" s="12">
        <f>15.7804 * CHOOSE( CONTROL!$C$15, $D$11, 100%, $F$11)</f>
        <v>15.7804</v>
      </c>
      <c r="F602" s="4">
        <f>16.7983 * CHOOSE(CONTROL!$C$15, $D$11, 100%, $F$11)</f>
        <v>16.798300000000001</v>
      </c>
      <c r="G602" s="8">
        <f>15.3574 * CHOOSE( CONTROL!$C$15, $D$11, 100%, $F$11)</f>
        <v>15.3574</v>
      </c>
      <c r="H602" s="4">
        <f>16.2982 * CHOOSE(CONTROL!$C$15, $D$11, 100%, $F$11)</f>
        <v>16.298200000000001</v>
      </c>
      <c r="I602" s="8">
        <f>15.1726 * CHOOSE(CONTROL!$C$15, $D$11, 100%, $F$11)</f>
        <v>15.172599999999999</v>
      </c>
      <c r="J602" s="4">
        <f>15.0992 * CHOOSE(CONTROL!$C$15, $D$11, 100%, $F$11)</f>
        <v>15.0992</v>
      </c>
      <c r="K602" s="4"/>
      <c r="L602" s="9">
        <v>28.921800000000001</v>
      </c>
      <c r="M602" s="9">
        <v>12.063700000000001</v>
      </c>
      <c r="N602" s="9">
        <v>4.9444999999999997</v>
      </c>
      <c r="O602" s="9">
        <v>0.37459999999999999</v>
      </c>
      <c r="P602" s="9">
        <v>1.2192000000000001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17 * CHOOSE(CONTROL!$C$15, $D$11, 100%, $F$11)</f>
        <v>17</v>
      </c>
      <c r="C603" s="8">
        <f>17.0104 * CHOOSE(CONTROL!$C$15, $D$11, 100%, $F$11)</f>
        <v>17.010400000000001</v>
      </c>
      <c r="D603" s="8">
        <f>16.9942 * CHOOSE( CONTROL!$C$15, $D$11, 100%, $F$11)</f>
        <v>16.994199999999999</v>
      </c>
      <c r="E603" s="12">
        <f>16.999 * CHOOSE( CONTROL!$C$15, $D$11, 100%, $F$11)</f>
        <v>16.998999999999999</v>
      </c>
      <c r="F603" s="4">
        <f>17.9942 * CHOOSE(CONTROL!$C$15, $D$11, 100%, $F$11)</f>
        <v>17.994199999999999</v>
      </c>
      <c r="G603" s="8">
        <f>16.5843 * CHOOSE( CONTROL!$C$15, $D$11, 100%, $F$11)</f>
        <v>16.584299999999999</v>
      </c>
      <c r="H603" s="4">
        <f>17.464 * CHOOSE(CONTROL!$C$15, $D$11, 100%, $F$11)</f>
        <v>17.463999999999999</v>
      </c>
      <c r="I603" s="8">
        <f>16.3955 * CHOOSE(CONTROL!$C$15, $D$11, 100%, $F$11)</f>
        <v>16.395499999999998</v>
      </c>
      <c r="J603" s="4">
        <f>16.2846 * CHOOSE(CONTROL!$C$15, $D$11, 100%, $F$11)</f>
        <v>16.284600000000001</v>
      </c>
      <c r="K603" s="4"/>
      <c r="L603" s="9">
        <v>26.515499999999999</v>
      </c>
      <c r="M603" s="9">
        <v>11.6745</v>
      </c>
      <c r="N603" s="9">
        <v>4.7850000000000001</v>
      </c>
      <c r="O603" s="9">
        <v>0.36249999999999999</v>
      </c>
      <c r="P603" s="9">
        <v>1.2522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16.9691 * CHOOSE(CONTROL!$C$15, $D$11, 100%, $F$11)</f>
        <v>16.969100000000001</v>
      </c>
      <c r="C604" s="8">
        <f>16.9795 * CHOOSE(CONTROL!$C$15, $D$11, 100%, $F$11)</f>
        <v>16.979500000000002</v>
      </c>
      <c r="D604" s="8">
        <f>16.9655 * CHOOSE( CONTROL!$C$15, $D$11, 100%, $F$11)</f>
        <v>16.965499999999999</v>
      </c>
      <c r="E604" s="12">
        <f>16.9695 * CHOOSE( CONTROL!$C$15, $D$11, 100%, $F$11)</f>
        <v>16.9695</v>
      </c>
      <c r="F604" s="4">
        <f>17.9633 * CHOOSE(CONTROL!$C$15, $D$11, 100%, $F$11)</f>
        <v>17.9633</v>
      </c>
      <c r="G604" s="8">
        <f>16.5559 * CHOOSE( CONTROL!$C$15, $D$11, 100%, $F$11)</f>
        <v>16.555900000000001</v>
      </c>
      <c r="H604" s="4">
        <f>17.4338 * CHOOSE(CONTROL!$C$15, $D$11, 100%, $F$11)</f>
        <v>17.433800000000002</v>
      </c>
      <c r="I604" s="8">
        <f>16.3734 * CHOOSE(CONTROL!$C$15, $D$11, 100%, $F$11)</f>
        <v>16.3734</v>
      </c>
      <c r="J604" s="4">
        <f>16.255 * CHOOSE(CONTROL!$C$15, $D$11, 100%, $F$11)</f>
        <v>16.254999999999999</v>
      </c>
      <c r="K604" s="4"/>
      <c r="L604" s="9">
        <v>27.3993</v>
      </c>
      <c r="M604" s="9">
        <v>12.063700000000001</v>
      </c>
      <c r="N604" s="9">
        <v>4.9444999999999997</v>
      </c>
      <c r="O604" s="9">
        <v>0.37459999999999999</v>
      </c>
      <c r="P604" s="9">
        <v>1.2939000000000001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17.6174 * CHOOSE(CONTROL!$C$15, $D$11, 100%, $F$11)</f>
        <v>17.6174</v>
      </c>
      <c r="C605" s="8">
        <f>17.6279 * CHOOSE(CONTROL!$C$15, $D$11, 100%, $F$11)</f>
        <v>17.6279</v>
      </c>
      <c r="D605" s="8">
        <f>17.6272 * CHOOSE( CONTROL!$C$15, $D$11, 100%, $F$11)</f>
        <v>17.627199999999998</v>
      </c>
      <c r="E605" s="12">
        <f>17.6263 * CHOOSE( CONTROL!$C$15, $D$11, 100%, $F$11)</f>
        <v>17.626300000000001</v>
      </c>
      <c r="F605" s="4">
        <f>18.6403 * CHOOSE(CONTROL!$C$15, $D$11, 100%, $F$11)</f>
        <v>18.6403</v>
      </c>
      <c r="G605" s="8">
        <f>17.2015 * CHOOSE( CONTROL!$C$15, $D$11, 100%, $F$11)</f>
        <v>17.201499999999999</v>
      </c>
      <c r="H605" s="4">
        <f>18.0938 * CHOOSE(CONTROL!$C$15, $D$11, 100%, $F$11)</f>
        <v>18.093800000000002</v>
      </c>
      <c r="I605" s="8">
        <f>16.9933 * CHOOSE(CONTROL!$C$15, $D$11, 100%, $F$11)</f>
        <v>16.993300000000001</v>
      </c>
      <c r="J605" s="4">
        <f>16.8763 * CHOOSE(CONTROL!$C$15, $D$11, 100%, $F$11)</f>
        <v>16.876300000000001</v>
      </c>
      <c r="K605" s="4"/>
      <c r="L605" s="9">
        <v>27.3993</v>
      </c>
      <c r="M605" s="9">
        <v>12.063700000000001</v>
      </c>
      <c r="N605" s="9">
        <v>4.9444999999999997</v>
      </c>
      <c r="O605" s="9">
        <v>0.37459999999999999</v>
      </c>
      <c r="P605" s="9">
        <v>1.2939000000000001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16.4788 * CHOOSE(CONTROL!$C$15, $D$11, 100%, $F$11)</f>
        <v>16.4788</v>
      </c>
      <c r="C606" s="8">
        <f>16.4892 * CHOOSE(CONTROL!$C$15, $D$11, 100%, $F$11)</f>
        <v>16.4892</v>
      </c>
      <c r="D606" s="8">
        <f>16.4907 * CHOOSE( CONTROL!$C$15, $D$11, 100%, $F$11)</f>
        <v>16.4907</v>
      </c>
      <c r="E606" s="12">
        <f>16.489 * CHOOSE( CONTROL!$C$15, $D$11, 100%, $F$11)</f>
        <v>16.489000000000001</v>
      </c>
      <c r="F606" s="4">
        <f>17.4939 * CHOOSE(CONTROL!$C$15, $D$11, 100%, $F$11)</f>
        <v>17.4939</v>
      </c>
      <c r="G606" s="8">
        <f>16.0914 * CHOOSE( CONTROL!$C$15, $D$11, 100%, $F$11)</f>
        <v>16.0914</v>
      </c>
      <c r="H606" s="4">
        <f>16.9763 * CHOOSE(CONTROL!$C$15, $D$11, 100%, $F$11)</f>
        <v>16.976299999999998</v>
      </c>
      <c r="I606" s="8">
        <f>15.8908 * CHOOSE(CONTROL!$C$15, $D$11, 100%, $F$11)</f>
        <v>15.8908</v>
      </c>
      <c r="J606" s="4">
        <f>15.7852 * CHOOSE(CONTROL!$C$15, $D$11, 100%, $F$11)</f>
        <v>15.7852</v>
      </c>
      <c r="K606" s="4"/>
      <c r="L606" s="9">
        <v>24.747800000000002</v>
      </c>
      <c r="M606" s="9">
        <v>10.8962</v>
      </c>
      <c r="N606" s="9">
        <v>4.4660000000000002</v>
      </c>
      <c r="O606" s="9">
        <v>0.33829999999999999</v>
      </c>
      <c r="P606" s="9">
        <v>1.1687000000000001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16.1281 * CHOOSE(CONTROL!$C$15, $D$11, 100%, $F$11)</f>
        <v>16.1281</v>
      </c>
      <c r="C607" s="8">
        <f>16.1385 * CHOOSE(CONTROL!$C$15, $D$11, 100%, $F$11)</f>
        <v>16.138500000000001</v>
      </c>
      <c r="D607" s="8">
        <f>16.1196 * CHOOSE( CONTROL!$C$15, $D$11, 100%, $F$11)</f>
        <v>16.119599999999998</v>
      </c>
      <c r="E607" s="12">
        <f>16.1254 * CHOOSE( CONTROL!$C$15, $D$11, 100%, $F$11)</f>
        <v>16.125399999999999</v>
      </c>
      <c r="F607" s="4">
        <f>17.127 * CHOOSE(CONTROL!$C$15, $D$11, 100%, $F$11)</f>
        <v>17.126999999999999</v>
      </c>
      <c r="G607" s="8">
        <f>15.7288 * CHOOSE( CONTROL!$C$15, $D$11, 100%, $F$11)</f>
        <v>15.7288</v>
      </c>
      <c r="H607" s="4">
        <f>16.6187 * CHOOSE(CONTROL!$C$15, $D$11, 100%, $F$11)</f>
        <v>16.6187</v>
      </c>
      <c r="I607" s="8">
        <f>15.5151 * CHOOSE(CONTROL!$C$15, $D$11, 100%, $F$11)</f>
        <v>15.5151</v>
      </c>
      <c r="J607" s="4">
        <f>15.4492 * CHOOSE(CONTROL!$C$15, $D$11, 100%, $F$11)</f>
        <v>15.449199999999999</v>
      </c>
      <c r="K607" s="4"/>
      <c r="L607" s="9">
        <v>27.3993</v>
      </c>
      <c r="M607" s="9">
        <v>12.063700000000001</v>
      </c>
      <c r="N607" s="9">
        <v>4.9444999999999997</v>
      </c>
      <c r="O607" s="9">
        <v>0.37459999999999999</v>
      </c>
      <c r="P607" s="9">
        <v>1.2939000000000001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16.3732 * CHOOSE(CONTROL!$C$15, $D$11, 100%, $F$11)</f>
        <v>16.373200000000001</v>
      </c>
      <c r="C608" s="8">
        <f>16.3836 * CHOOSE(CONTROL!$C$15, $D$11, 100%, $F$11)</f>
        <v>16.383600000000001</v>
      </c>
      <c r="D608" s="8">
        <f>16.3876 * CHOOSE( CONTROL!$C$15, $D$11, 100%, $F$11)</f>
        <v>16.387599999999999</v>
      </c>
      <c r="E608" s="12">
        <f>16.3851 * CHOOSE( CONTROL!$C$15, $D$11, 100%, $F$11)</f>
        <v>16.385100000000001</v>
      </c>
      <c r="F608" s="4">
        <f>17.3804 * CHOOSE(CONTROL!$C$15, $D$11, 100%, $F$11)</f>
        <v>17.380400000000002</v>
      </c>
      <c r="G608" s="8">
        <f>15.9561 * CHOOSE( CONTROL!$C$15, $D$11, 100%, $F$11)</f>
        <v>15.956099999999999</v>
      </c>
      <c r="H608" s="4">
        <f>16.8657 * CHOOSE(CONTROL!$C$15, $D$11, 100%, $F$11)</f>
        <v>16.8657</v>
      </c>
      <c r="I608" s="8">
        <f>15.7401 * CHOOSE(CONTROL!$C$15, $D$11, 100%, $F$11)</f>
        <v>15.7401</v>
      </c>
      <c r="J608" s="4">
        <f>15.684 * CHOOSE(CONTROL!$C$15, $D$11, 100%, $F$11)</f>
        <v>15.683999999999999</v>
      </c>
      <c r="K608" s="4"/>
      <c r="L608" s="9">
        <v>27.988800000000001</v>
      </c>
      <c r="M608" s="9">
        <v>11.6745</v>
      </c>
      <c r="N608" s="9">
        <v>4.7850000000000001</v>
      </c>
      <c r="O608" s="9">
        <v>0.36249999999999999</v>
      </c>
      <c r="P608" s="9">
        <v>1.1798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CONTROL!$C$32, 16.8146, 16.8093) * CHOOSE(CONTROL!$C$15, $D$11, 100%, $F$11)</f>
        <v>16.814599999999999</v>
      </c>
      <c r="C609" s="8">
        <f>CHOOSE( CONTROL!$C$32, 16.825, 16.8197) * CHOOSE(CONTROL!$C$15, $D$11, 100%, $F$11)</f>
        <v>16.824999999999999</v>
      </c>
      <c r="D609" s="8">
        <f>CHOOSE( CONTROL!$C$32, 16.8378, 16.8326) * CHOOSE( CONTROL!$C$15, $D$11, 100%, $F$11)</f>
        <v>16.837800000000001</v>
      </c>
      <c r="E609" s="12">
        <f>CHOOSE( CONTROL!$C$32, 16.8316, 16.8263) * CHOOSE( CONTROL!$C$15, $D$11, 100%, $F$11)</f>
        <v>16.831600000000002</v>
      </c>
      <c r="F609" s="4">
        <f>CHOOSE( CONTROL!$C$32, 17.8375, 17.8322) * CHOOSE(CONTROL!$C$15, $D$11, 100%, $F$11)</f>
        <v>17.837499999999999</v>
      </c>
      <c r="G609" s="8">
        <f>CHOOSE( CONTROL!$C$32, 16.3919, 16.3868) * CHOOSE( CONTROL!$C$15, $D$11, 100%, $F$11)</f>
        <v>16.3919</v>
      </c>
      <c r="H609" s="4">
        <f>CHOOSE( CONTROL!$C$32, 17.3112, 17.3061) * CHOOSE(CONTROL!$C$15, $D$11, 100%, $F$11)</f>
        <v>17.311199999999999</v>
      </c>
      <c r="I609" s="8">
        <f>CHOOSE( CONTROL!$C$32, 16.1686, 16.1635) * CHOOSE(CONTROL!$C$15, $D$11, 100%, $F$11)</f>
        <v>16.168600000000001</v>
      </c>
      <c r="J609" s="4">
        <f>CHOOSE( CONTROL!$C$32, 16.107, 16.1019) * CHOOSE(CONTROL!$C$15, $D$11, 100%, $F$11)</f>
        <v>16.106999999999999</v>
      </c>
      <c r="K609" s="4"/>
      <c r="L609" s="9">
        <v>29.520499999999998</v>
      </c>
      <c r="M609" s="9">
        <v>12.063700000000001</v>
      </c>
      <c r="N609" s="9">
        <v>4.9444999999999997</v>
      </c>
      <c r="O609" s="9">
        <v>0.37459999999999999</v>
      </c>
      <c r="P609" s="9">
        <v>1.2192000000000001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CONTROL!$C$32, 16.5444, 16.5391) * CHOOSE(CONTROL!$C$15, $D$11, 100%, $F$11)</f>
        <v>16.5444</v>
      </c>
      <c r="C610" s="8">
        <f>CHOOSE( CONTROL!$C$32, 16.5548, 16.5496) * CHOOSE(CONTROL!$C$15, $D$11, 100%, $F$11)</f>
        <v>16.5548</v>
      </c>
      <c r="D610" s="8">
        <f>CHOOSE( CONTROL!$C$32, 16.5753, 16.57) * CHOOSE( CONTROL!$C$15, $D$11, 100%, $F$11)</f>
        <v>16.575299999999999</v>
      </c>
      <c r="E610" s="12">
        <f>CHOOSE( CONTROL!$C$32, 16.5663, 16.561) * CHOOSE( CONTROL!$C$15, $D$11, 100%, $F$11)</f>
        <v>16.566299999999998</v>
      </c>
      <c r="F610" s="4">
        <f>CHOOSE( CONTROL!$C$32, 17.5798, 17.5746) * CHOOSE(CONTROL!$C$15, $D$11, 100%, $F$11)</f>
        <v>17.579799999999999</v>
      </c>
      <c r="G610" s="8">
        <f>CHOOSE( CONTROL!$C$32, 16.1324, 16.1273) * CHOOSE( CONTROL!$C$15, $D$11, 100%, $F$11)</f>
        <v>16.132400000000001</v>
      </c>
      <c r="H610" s="4">
        <f>CHOOSE( CONTROL!$C$32, 17.0601, 17.0549) * CHOOSE(CONTROL!$C$15, $D$11, 100%, $F$11)</f>
        <v>17.060099999999998</v>
      </c>
      <c r="I610" s="8">
        <f>CHOOSE( CONTROL!$C$32, 15.9148, 15.9097) * CHOOSE(CONTROL!$C$15, $D$11, 100%, $F$11)</f>
        <v>15.9148</v>
      </c>
      <c r="J610" s="4">
        <f>CHOOSE( CONTROL!$C$32, 15.8481, 15.843) * CHOOSE(CONTROL!$C$15, $D$11, 100%, $F$11)</f>
        <v>15.848100000000001</v>
      </c>
      <c r="K610" s="4"/>
      <c r="L610" s="9">
        <v>28.568200000000001</v>
      </c>
      <c r="M610" s="9">
        <v>11.6745</v>
      </c>
      <c r="N610" s="9">
        <v>4.7850000000000001</v>
      </c>
      <c r="O610" s="9">
        <v>0.36249999999999999</v>
      </c>
      <c r="P610" s="9">
        <v>1.1798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CONTROL!$C$32, 17.2559, 17.2506) * CHOOSE(CONTROL!$C$15, $D$11, 100%, $F$11)</f>
        <v>17.2559</v>
      </c>
      <c r="C611" s="8">
        <f>CHOOSE( CONTROL!$C$32, 17.2663, 17.261) * CHOOSE(CONTROL!$C$15, $D$11, 100%, $F$11)</f>
        <v>17.266300000000001</v>
      </c>
      <c r="D611" s="8">
        <f>CHOOSE( CONTROL!$C$32, 17.2769, 17.2716) * CHOOSE( CONTROL!$C$15, $D$11, 100%, $F$11)</f>
        <v>17.276900000000001</v>
      </c>
      <c r="E611" s="12">
        <f>CHOOSE( CONTROL!$C$32, 17.2715, 17.2662) * CHOOSE( CONTROL!$C$15, $D$11, 100%, $F$11)</f>
        <v>17.2715</v>
      </c>
      <c r="F611" s="4">
        <f>CHOOSE( CONTROL!$C$32, 18.2913, 18.286) * CHOOSE(CONTROL!$C$15, $D$11, 100%, $F$11)</f>
        <v>18.2913</v>
      </c>
      <c r="G611" s="8">
        <f>CHOOSE( CONTROL!$C$32, 16.8127, 16.8076) * CHOOSE( CONTROL!$C$15, $D$11, 100%, $F$11)</f>
        <v>16.8127</v>
      </c>
      <c r="H611" s="4">
        <f>CHOOSE( CONTROL!$C$32, 17.7536, 17.7485) * CHOOSE(CONTROL!$C$15, $D$11, 100%, $F$11)</f>
        <v>17.753599999999999</v>
      </c>
      <c r="I611" s="8">
        <f>CHOOSE( CONTROL!$C$32, 16.6002, 16.5952) * CHOOSE(CONTROL!$C$15, $D$11, 100%, $F$11)</f>
        <v>16.600200000000001</v>
      </c>
      <c r="J611" s="4">
        <f>CHOOSE( CONTROL!$C$32, 16.5298, 16.5248) * CHOOSE(CONTROL!$C$15, $D$11, 100%, $F$11)</f>
        <v>16.529800000000002</v>
      </c>
      <c r="K611" s="4"/>
      <c r="L611" s="9">
        <v>29.520499999999998</v>
      </c>
      <c r="M611" s="9">
        <v>12.063700000000001</v>
      </c>
      <c r="N611" s="9">
        <v>4.9444999999999997</v>
      </c>
      <c r="O611" s="9">
        <v>0.37459999999999999</v>
      </c>
      <c r="P611" s="9">
        <v>1.2192000000000001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CONTROL!$C$32, 15.9246, 15.9194) * CHOOSE(CONTROL!$C$15, $D$11, 100%, $F$11)</f>
        <v>15.9246</v>
      </c>
      <c r="C612" s="8">
        <f>CHOOSE( CONTROL!$C$32, 15.9351, 15.9298) * CHOOSE(CONTROL!$C$15, $D$11, 100%, $F$11)</f>
        <v>15.9351</v>
      </c>
      <c r="D612" s="8">
        <f>CHOOSE( CONTROL!$C$32, 15.946, 15.9407) * CHOOSE( CONTROL!$C$15, $D$11, 100%, $F$11)</f>
        <v>15.946</v>
      </c>
      <c r="E612" s="12">
        <f>CHOOSE( CONTROL!$C$32, 15.9404, 15.9352) * CHOOSE( CONTROL!$C$15, $D$11, 100%, $F$11)</f>
        <v>15.9404</v>
      </c>
      <c r="F612" s="4">
        <f>CHOOSE( CONTROL!$C$32, 16.9601, 16.9548) * CHOOSE(CONTROL!$C$15, $D$11, 100%, $F$11)</f>
        <v>16.960100000000001</v>
      </c>
      <c r="G612" s="8">
        <f>CHOOSE( CONTROL!$C$32, 15.5156, 15.5104) * CHOOSE( CONTROL!$C$15, $D$11, 100%, $F$11)</f>
        <v>15.515599999999999</v>
      </c>
      <c r="H612" s="4">
        <f>CHOOSE( CONTROL!$C$32, 16.4559, 16.4508) * CHOOSE(CONTROL!$C$15, $D$11, 100%, $F$11)</f>
        <v>16.4559</v>
      </c>
      <c r="I612" s="8">
        <f>CHOOSE( CONTROL!$C$32, 15.3256, 15.3206) * CHOOSE(CONTROL!$C$15, $D$11, 100%, $F$11)</f>
        <v>15.3256</v>
      </c>
      <c r="J612" s="4">
        <f>CHOOSE( CONTROL!$C$32, 15.2542, 15.2492) * CHOOSE(CONTROL!$C$15, $D$11, 100%, $F$11)</f>
        <v>15.254200000000001</v>
      </c>
      <c r="K612" s="4"/>
      <c r="L612" s="9">
        <v>29.520499999999998</v>
      </c>
      <c r="M612" s="9">
        <v>12.063700000000001</v>
      </c>
      <c r="N612" s="9">
        <v>4.9444999999999997</v>
      </c>
      <c r="O612" s="9">
        <v>0.37459999999999999</v>
      </c>
      <c r="P612" s="9">
        <v>1.2192000000000001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CONTROL!$C$32, 15.5913, 15.586) * CHOOSE(CONTROL!$C$15, $D$11, 100%, $F$11)</f>
        <v>15.5913</v>
      </c>
      <c r="C613" s="8">
        <f>CHOOSE( CONTROL!$C$32, 15.6017, 15.5964) * CHOOSE(CONTROL!$C$15, $D$11, 100%, $F$11)</f>
        <v>15.601699999999999</v>
      </c>
      <c r="D613" s="8">
        <f>CHOOSE( CONTROL!$C$32, 15.6128, 15.6075) * CHOOSE( CONTROL!$C$15, $D$11, 100%, $F$11)</f>
        <v>15.6128</v>
      </c>
      <c r="E613" s="12">
        <f>CHOOSE( CONTROL!$C$32, 15.6072, 15.6019) * CHOOSE( CONTROL!$C$15, $D$11, 100%, $F$11)</f>
        <v>15.607200000000001</v>
      </c>
      <c r="F613" s="4">
        <f>CHOOSE( CONTROL!$C$32, 16.6267, 16.6214) * CHOOSE(CONTROL!$C$15, $D$11, 100%, $F$11)</f>
        <v>16.6267</v>
      </c>
      <c r="G613" s="8">
        <f>CHOOSE( CONTROL!$C$32, 15.1908, 15.1857) * CHOOSE( CONTROL!$C$15, $D$11, 100%, $F$11)</f>
        <v>15.190799999999999</v>
      </c>
      <c r="H613" s="4">
        <f>CHOOSE( CONTROL!$C$32, 16.131, 16.1259) * CHOOSE(CONTROL!$C$15, $D$11, 100%, $F$11)</f>
        <v>16.131</v>
      </c>
      <c r="I613" s="8">
        <f>CHOOSE( CONTROL!$C$32, 15.0067, 15.0017) * CHOOSE(CONTROL!$C$15, $D$11, 100%, $F$11)</f>
        <v>15.0067</v>
      </c>
      <c r="J613" s="4">
        <f>CHOOSE( CONTROL!$C$32, 14.9348, 14.9298) * CHOOSE(CONTROL!$C$15, $D$11, 100%, $F$11)</f>
        <v>14.934799999999999</v>
      </c>
      <c r="K613" s="4"/>
      <c r="L613" s="9">
        <v>28.568200000000001</v>
      </c>
      <c r="M613" s="9">
        <v>11.6745</v>
      </c>
      <c r="N613" s="9">
        <v>4.7850000000000001</v>
      </c>
      <c r="O613" s="9">
        <v>0.36249999999999999</v>
      </c>
      <c r="P613" s="9">
        <v>1.1798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16.2782 * CHOOSE(CONTROL!$C$15, $D$11, 100%, $F$11)</f>
        <v>16.278199999999998</v>
      </c>
      <c r="C614" s="8">
        <f>16.2886 * CHOOSE(CONTROL!$C$15, $D$11, 100%, $F$11)</f>
        <v>16.288599999999999</v>
      </c>
      <c r="D614" s="8">
        <f>16.301 * CHOOSE( CONTROL!$C$15, $D$11, 100%, $F$11)</f>
        <v>16.300999999999998</v>
      </c>
      <c r="E614" s="12">
        <f>16.2958 * CHOOSE( CONTROL!$C$15, $D$11, 100%, $F$11)</f>
        <v>16.2958</v>
      </c>
      <c r="F614" s="4">
        <f>17.3136 * CHOOSE(CONTROL!$C$15, $D$11, 100%, $F$11)</f>
        <v>17.313600000000001</v>
      </c>
      <c r="G614" s="8">
        <f>15.8598 * CHOOSE( CONTROL!$C$15, $D$11, 100%, $F$11)</f>
        <v>15.8598</v>
      </c>
      <c r="H614" s="4">
        <f>16.8006 * CHOOSE(CONTROL!$C$15, $D$11, 100%, $F$11)</f>
        <v>16.800599999999999</v>
      </c>
      <c r="I614" s="8">
        <f>15.6667 * CHOOSE(CONTROL!$C$15, $D$11, 100%, $F$11)</f>
        <v>15.666700000000001</v>
      </c>
      <c r="J614" s="4">
        <f>15.593 * CHOOSE(CONTROL!$C$15, $D$11, 100%, $F$11)</f>
        <v>15.593</v>
      </c>
      <c r="K614" s="4"/>
      <c r="L614" s="9">
        <v>28.921800000000001</v>
      </c>
      <c r="M614" s="9">
        <v>12.063700000000001</v>
      </c>
      <c r="N614" s="9">
        <v>4.9444999999999997</v>
      </c>
      <c r="O614" s="9">
        <v>0.37459999999999999</v>
      </c>
      <c r="P614" s="9">
        <v>1.2192000000000001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17.5558 * CHOOSE(CONTROL!$C$15, $D$11, 100%, $F$11)</f>
        <v>17.555800000000001</v>
      </c>
      <c r="C615" s="8">
        <f>17.5662 * CHOOSE(CONTROL!$C$15, $D$11, 100%, $F$11)</f>
        <v>17.566199999999998</v>
      </c>
      <c r="D615" s="8">
        <f>17.55 * CHOOSE( CONTROL!$C$15, $D$11, 100%, $F$11)</f>
        <v>17.55</v>
      </c>
      <c r="E615" s="12">
        <f>17.5548 * CHOOSE( CONTROL!$C$15, $D$11, 100%, $F$11)</f>
        <v>17.5548</v>
      </c>
      <c r="F615" s="4">
        <f>18.55 * CHOOSE(CONTROL!$C$15, $D$11, 100%, $F$11)</f>
        <v>18.55</v>
      </c>
      <c r="G615" s="8">
        <f>17.1261 * CHOOSE( CONTROL!$C$15, $D$11, 100%, $F$11)</f>
        <v>17.126100000000001</v>
      </c>
      <c r="H615" s="4">
        <f>18.0057 * CHOOSE(CONTROL!$C$15, $D$11, 100%, $F$11)</f>
        <v>18.005700000000001</v>
      </c>
      <c r="I615" s="8">
        <f>16.9283 * CHOOSE(CONTROL!$C$15, $D$11, 100%, $F$11)</f>
        <v>16.9283</v>
      </c>
      <c r="J615" s="4">
        <f>16.8172 * CHOOSE(CONTROL!$C$15, $D$11, 100%, $F$11)</f>
        <v>16.8172</v>
      </c>
      <c r="K615" s="4"/>
      <c r="L615" s="9">
        <v>26.515499999999999</v>
      </c>
      <c r="M615" s="9">
        <v>11.6745</v>
      </c>
      <c r="N615" s="9">
        <v>4.7850000000000001</v>
      </c>
      <c r="O615" s="9">
        <v>0.36249999999999999</v>
      </c>
      <c r="P615" s="9">
        <v>1.2522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17.5239 * CHOOSE(CONTROL!$C$15, $D$11, 100%, $F$11)</f>
        <v>17.523900000000001</v>
      </c>
      <c r="C616" s="8">
        <f>17.5343 * CHOOSE(CONTROL!$C$15, $D$11, 100%, $F$11)</f>
        <v>17.534300000000002</v>
      </c>
      <c r="D616" s="8">
        <f>17.5203 * CHOOSE( CONTROL!$C$15, $D$11, 100%, $F$11)</f>
        <v>17.520299999999999</v>
      </c>
      <c r="E616" s="12">
        <f>17.5243 * CHOOSE( CONTROL!$C$15, $D$11, 100%, $F$11)</f>
        <v>17.5243</v>
      </c>
      <c r="F616" s="4">
        <f>18.5181 * CHOOSE(CONTROL!$C$15, $D$11, 100%, $F$11)</f>
        <v>18.5181</v>
      </c>
      <c r="G616" s="8">
        <f>17.0967 * CHOOSE( CONTROL!$C$15, $D$11, 100%, $F$11)</f>
        <v>17.096699999999998</v>
      </c>
      <c r="H616" s="4">
        <f>17.9746 * CHOOSE(CONTROL!$C$15, $D$11, 100%, $F$11)</f>
        <v>17.974599999999999</v>
      </c>
      <c r="I616" s="8">
        <f>16.9053 * CHOOSE(CONTROL!$C$15, $D$11, 100%, $F$11)</f>
        <v>16.9053</v>
      </c>
      <c r="J616" s="4">
        <f>16.7866 * CHOOSE(CONTROL!$C$15, $D$11, 100%, $F$11)</f>
        <v>16.7866</v>
      </c>
      <c r="K616" s="4"/>
      <c r="L616" s="9">
        <v>27.3993</v>
      </c>
      <c r="M616" s="9">
        <v>12.063700000000001</v>
      </c>
      <c r="N616" s="9">
        <v>4.9444999999999997</v>
      </c>
      <c r="O616" s="9">
        <v>0.37459999999999999</v>
      </c>
      <c r="P616" s="9">
        <v>1.2939000000000001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18.1934 * CHOOSE(CONTROL!$C$15, $D$11, 100%, $F$11)</f>
        <v>18.1934</v>
      </c>
      <c r="C617" s="8">
        <f>18.2038 * CHOOSE(CONTROL!$C$15, $D$11, 100%, $F$11)</f>
        <v>18.203800000000001</v>
      </c>
      <c r="D617" s="8">
        <f>18.2032 * CHOOSE( CONTROL!$C$15, $D$11, 100%, $F$11)</f>
        <v>18.203199999999999</v>
      </c>
      <c r="E617" s="12">
        <f>18.2023 * CHOOSE( CONTROL!$C$15, $D$11, 100%, $F$11)</f>
        <v>18.202300000000001</v>
      </c>
      <c r="F617" s="4">
        <f>19.2163 * CHOOSE(CONTROL!$C$15, $D$11, 100%, $F$11)</f>
        <v>19.2163</v>
      </c>
      <c r="G617" s="8">
        <f>17.763 * CHOOSE( CONTROL!$C$15, $D$11, 100%, $F$11)</f>
        <v>17.763000000000002</v>
      </c>
      <c r="H617" s="4">
        <f>18.6553 * CHOOSE(CONTROL!$C$15, $D$11, 100%, $F$11)</f>
        <v>18.6553</v>
      </c>
      <c r="I617" s="8">
        <f>17.5455 * CHOOSE(CONTROL!$C$15, $D$11, 100%, $F$11)</f>
        <v>17.545500000000001</v>
      </c>
      <c r="J617" s="4">
        <f>17.4282 * CHOOSE(CONTROL!$C$15, $D$11, 100%, $F$11)</f>
        <v>17.4282</v>
      </c>
      <c r="K617" s="4"/>
      <c r="L617" s="9">
        <v>27.3993</v>
      </c>
      <c r="M617" s="9">
        <v>12.063700000000001</v>
      </c>
      <c r="N617" s="9">
        <v>4.9444999999999997</v>
      </c>
      <c r="O617" s="9">
        <v>0.37459999999999999</v>
      </c>
      <c r="P617" s="9">
        <v>1.2939000000000001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17.0176 * CHOOSE(CONTROL!$C$15, $D$11, 100%, $F$11)</f>
        <v>17.017600000000002</v>
      </c>
      <c r="C618" s="8">
        <f>17.028 * CHOOSE(CONTROL!$C$15, $D$11, 100%, $F$11)</f>
        <v>17.027999999999999</v>
      </c>
      <c r="D618" s="8">
        <f>17.0295 * CHOOSE( CONTROL!$C$15, $D$11, 100%, $F$11)</f>
        <v>17.029499999999999</v>
      </c>
      <c r="E618" s="12">
        <f>17.0278 * CHOOSE( CONTROL!$C$15, $D$11, 100%, $F$11)</f>
        <v>17.027799999999999</v>
      </c>
      <c r="F618" s="4">
        <f>18.0326 * CHOOSE(CONTROL!$C$15, $D$11, 100%, $F$11)</f>
        <v>18.032599999999999</v>
      </c>
      <c r="G618" s="8">
        <f>16.6166 * CHOOSE( CONTROL!$C$15, $D$11, 100%, $F$11)</f>
        <v>16.616599999999998</v>
      </c>
      <c r="H618" s="4">
        <f>17.5015 * CHOOSE(CONTROL!$C$15, $D$11, 100%, $F$11)</f>
        <v>17.5015</v>
      </c>
      <c r="I618" s="8">
        <f>16.4073 * CHOOSE(CONTROL!$C$15, $D$11, 100%, $F$11)</f>
        <v>16.407299999999999</v>
      </c>
      <c r="J618" s="4">
        <f>16.3015 * CHOOSE(CONTROL!$C$15, $D$11, 100%, $F$11)</f>
        <v>16.301500000000001</v>
      </c>
      <c r="K618" s="4"/>
      <c r="L618" s="9">
        <v>24.747800000000002</v>
      </c>
      <c r="M618" s="9">
        <v>10.8962</v>
      </c>
      <c r="N618" s="9">
        <v>4.4660000000000002</v>
      </c>
      <c r="O618" s="9">
        <v>0.33829999999999999</v>
      </c>
      <c r="P618" s="9">
        <v>1.1687000000000001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16.6554 * CHOOSE(CONTROL!$C$15, $D$11, 100%, $F$11)</f>
        <v>16.6554</v>
      </c>
      <c r="C619" s="8">
        <f>16.6658 * CHOOSE(CONTROL!$C$15, $D$11, 100%, $F$11)</f>
        <v>16.665800000000001</v>
      </c>
      <c r="D619" s="8">
        <f>16.6469 * CHOOSE( CONTROL!$C$15, $D$11, 100%, $F$11)</f>
        <v>16.646899999999999</v>
      </c>
      <c r="E619" s="12">
        <f>16.6527 * CHOOSE( CONTROL!$C$15, $D$11, 100%, $F$11)</f>
        <v>16.652699999999999</v>
      </c>
      <c r="F619" s="4">
        <f>17.6543 * CHOOSE(CONTROL!$C$15, $D$11, 100%, $F$11)</f>
        <v>17.654299999999999</v>
      </c>
      <c r="G619" s="8">
        <f>16.2428 * CHOOSE( CONTROL!$C$15, $D$11, 100%, $F$11)</f>
        <v>16.242799999999999</v>
      </c>
      <c r="H619" s="4">
        <f>17.1327 * CHOOSE(CONTROL!$C$15, $D$11, 100%, $F$11)</f>
        <v>17.1327</v>
      </c>
      <c r="I619" s="8">
        <f>16.0206 * CHOOSE(CONTROL!$C$15, $D$11, 100%, $F$11)</f>
        <v>16.020600000000002</v>
      </c>
      <c r="J619" s="4">
        <f>15.9544 * CHOOSE(CONTROL!$C$15, $D$11, 100%, $F$11)</f>
        <v>15.9544</v>
      </c>
      <c r="K619" s="4"/>
      <c r="L619" s="9">
        <v>27.3993</v>
      </c>
      <c r="M619" s="9">
        <v>12.063700000000001</v>
      </c>
      <c r="N619" s="9">
        <v>4.9444999999999997</v>
      </c>
      <c r="O619" s="9">
        <v>0.37459999999999999</v>
      </c>
      <c r="P619" s="9">
        <v>1.2939000000000001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16.9085 * CHOOSE(CONTROL!$C$15, $D$11, 100%, $F$11)</f>
        <v>16.9085</v>
      </c>
      <c r="C620" s="8">
        <f>16.9189 * CHOOSE(CONTROL!$C$15, $D$11, 100%, $F$11)</f>
        <v>16.918900000000001</v>
      </c>
      <c r="D620" s="8">
        <f>16.9229 * CHOOSE( CONTROL!$C$15, $D$11, 100%, $F$11)</f>
        <v>16.922899999999998</v>
      </c>
      <c r="E620" s="12">
        <f>16.9204 * CHOOSE( CONTROL!$C$15, $D$11, 100%, $F$11)</f>
        <v>16.920400000000001</v>
      </c>
      <c r="F620" s="4">
        <f>17.9157 * CHOOSE(CONTROL!$C$15, $D$11, 100%, $F$11)</f>
        <v>17.915700000000001</v>
      </c>
      <c r="G620" s="8">
        <f>16.4779 * CHOOSE( CONTROL!$C$15, $D$11, 100%, $F$11)</f>
        <v>16.477900000000002</v>
      </c>
      <c r="H620" s="4">
        <f>17.3875 * CHOOSE(CONTROL!$C$15, $D$11, 100%, $F$11)</f>
        <v>17.387499999999999</v>
      </c>
      <c r="I620" s="8">
        <f>16.2533 * CHOOSE(CONTROL!$C$15, $D$11, 100%, $F$11)</f>
        <v>16.253299999999999</v>
      </c>
      <c r="J620" s="4">
        <f>16.1969 * CHOOSE(CONTROL!$C$15, $D$11, 100%, $F$11)</f>
        <v>16.196899999999999</v>
      </c>
      <c r="K620" s="4"/>
      <c r="L620" s="9">
        <v>27.988800000000001</v>
      </c>
      <c r="M620" s="9">
        <v>11.6745</v>
      </c>
      <c r="N620" s="9">
        <v>4.7850000000000001</v>
      </c>
      <c r="O620" s="9">
        <v>0.36249999999999999</v>
      </c>
      <c r="P620" s="9">
        <v>1.1798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CONTROL!$C$32, 17.3641, 17.3589) * CHOOSE(CONTROL!$C$15, $D$11, 100%, $F$11)</f>
        <v>17.364100000000001</v>
      </c>
      <c r="C621" s="8">
        <f>CHOOSE( CONTROL!$C$32, 17.3746, 17.3693) * CHOOSE(CONTROL!$C$15, $D$11, 100%, $F$11)</f>
        <v>17.374600000000001</v>
      </c>
      <c r="D621" s="8">
        <f>CHOOSE( CONTROL!$C$32, 17.3874, 17.3821) * CHOOSE( CONTROL!$C$15, $D$11, 100%, $F$11)</f>
        <v>17.3874</v>
      </c>
      <c r="E621" s="12">
        <f>CHOOSE( CONTROL!$C$32, 17.3812, 17.3759) * CHOOSE( CONTROL!$C$15, $D$11, 100%, $F$11)</f>
        <v>17.3812</v>
      </c>
      <c r="F621" s="4">
        <f>CHOOSE( CONTROL!$C$32, 18.387, 18.3818) * CHOOSE(CONTROL!$C$15, $D$11, 100%, $F$11)</f>
        <v>18.387</v>
      </c>
      <c r="G621" s="8">
        <f>CHOOSE( CONTROL!$C$32, 16.9276, 16.9225) * CHOOSE( CONTROL!$C$15, $D$11, 100%, $F$11)</f>
        <v>16.927600000000002</v>
      </c>
      <c r="H621" s="4">
        <f>CHOOSE( CONTROL!$C$32, 17.8469, 17.8418) * CHOOSE(CONTROL!$C$15, $D$11, 100%, $F$11)</f>
        <v>17.846900000000002</v>
      </c>
      <c r="I621" s="8">
        <f>CHOOSE( CONTROL!$C$32, 16.6954, 16.6904) * CHOOSE(CONTROL!$C$15, $D$11, 100%, $F$11)</f>
        <v>16.695399999999999</v>
      </c>
      <c r="J621" s="4">
        <f>CHOOSE( CONTROL!$C$32, 16.6336, 16.6285) * CHOOSE(CONTROL!$C$15, $D$11, 100%, $F$11)</f>
        <v>16.633600000000001</v>
      </c>
      <c r="K621" s="4"/>
      <c r="L621" s="9">
        <v>29.520499999999998</v>
      </c>
      <c r="M621" s="9">
        <v>12.063700000000001</v>
      </c>
      <c r="N621" s="9">
        <v>4.9444999999999997</v>
      </c>
      <c r="O621" s="9">
        <v>0.37459999999999999</v>
      </c>
      <c r="P621" s="9">
        <v>1.2192000000000001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CONTROL!$C$32, 17.0851, 17.0799) * CHOOSE(CONTROL!$C$15, $D$11, 100%, $F$11)</f>
        <v>17.085100000000001</v>
      </c>
      <c r="C622" s="8">
        <f>CHOOSE( CONTROL!$C$32, 17.0956, 17.0903) * CHOOSE(CONTROL!$C$15, $D$11, 100%, $F$11)</f>
        <v>17.095600000000001</v>
      </c>
      <c r="D622" s="8">
        <f>CHOOSE( CONTROL!$C$32, 17.116, 17.1107) * CHOOSE( CONTROL!$C$15, $D$11, 100%, $F$11)</f>
        <v>17.116</v>
      </c>
      <c r="E622" s="12">
        <f>CHOOSE( CONTROL!$C$32, 17.107, 17.1017) * CHOOSE( CONTROL!$C$15, $D$11, 100%, $F$11)</f>
        <v>17.106999999999999</v>
      </c>
      <c r="F622" s="4">
        <f>CHOOSE( CONTROL!$C$32, 18.1206, 18.1153) * CHOOSE(CONTROL!$C$15, $D$11, 100%, $F$11)</f>
        <v>18.1206</v>
      </c>
      <c r="G622" s="8">
        <f>CHOOSE( CONTROL!$C$32, 16.6595, 16.6544) * CHOOSE( CONTROL!$C$15, $D$11, 100%, $F$11)</f>
        <v>16.659500000000001</v>
      </c>
      <c r="H622" s="4">
        <f>CHOOSE( CONTROL!$C$32, 17.5871, 17.582) * CHOOSE(CONTROL!$C$15, $D$11, 100%, $F$11)</f>
        <v>17.5871</v>
      </c>
      <c r="I622" s="8">
        <f>CHOOSE( CONTROL!$C$32, 16.4332, 16.4281) * CHOOSE(CONTROL!$C$15, $D$11, 100%, $F$11)</f>
        <v>16.433199999999999</v>
      </c>
      <c r="J622" s="4">
        <f>CHOOSE( CONTROL!$C$32, 16.3662, 16.3612) * CHOOSE(CONTROL!$C$15, $D$11, 100%, $F$11)</f>
        <v>16.366199999999999</v>
      </c>
      <c r="K622" s="4"/>
      <c r="L622" s="9">
        <v>28.568200000000001</v>
      </c>
      <c r="M622" s="9">
        <v>11.6745</v>
      </c>
      <c r="N622" s="9">
        <v>4.7850000000000001</v>
      </c>
      <c r="O622" s="9">
        <v>0.36249999999999999</v>
      </c>
      <c r="P622" s="9">
        <v>1.1798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CONTROL!$C$32, 17.8199, 17.8146) * CHOOSE(CONTROL!$C$15, $D$11, 100%, $F$11)</f>
        <v>17.819900000000001</v>
      </c>
      <c r="C623" s="8">
        <f>CHOOSE( CONTROL!$C$32, 17.8303, 17.825) * CHOOSE(CONTROL!$C$15, $D$11, 100%, $F$11)</f>
        <v>17.830300000000001</v>
      </c>
      <c r="D623" s="8">
        <f>CHOOSE( CONTROL!$C$32, 17.8409, 17.8356) * CHOOSE( CONTROL!$C$15, $D$11, 100%, $F$11)</f>
        <v>17.840900000000001</v>
      </c>
      <c r="E623" s="12">
        <f>CHOOSE( CONTROL!$C$32, 17.8355, 17.8302) * CHOOSE( CONTROL!$C$15, $D$11, 100%, $F$11)</f>
        <v>17.8355</v>
      </c>
      <c r="F623" s="4">
        <f>CHOOSE( CONTROL!$C$32, 18.8553, 18.85) * CHOOSE(CONTROL!$C$15, $D$11, 100%, $F$11)</f>
        <v>18.8553</v>
      </c>
      <c r="G623" s="8">
        <f>CHOOSE( CONTROL!$C$32, 17.3625, 17.3574) * CHOOSE( CONTROL!$C$15, $D$11, 100%, $F$11)</f>
        <v>17.362500000000001</v>
      </c>
      <c r="H623" s="4">
        <f>CHOOSE( CONTROL!$C$32, 18.3033, 18.2982) * CHOOSE(CONTROL!$C$15, $D$11, 100%, $F$11)</f>
        <v>18.3033</v>
      </c>
      <c r="I623" s="8">
        <f>CHOOSE( CONTROL!$C$32, 17.1409, 17.1359) * CHOOSE(CONTROL!$C$15, $D$11, 100%, $F$11)</f>
        <v>17.140899999999998</v>
      </c>
      <c r="J623" s="4">
        <f>CHOOSE( CONTROL!$C$32, 17.0702, 17.0652) * CHOOSE(CONTROL!$C$15, $D$11, 100%, $F$11)</f>
        <v>17.0702</v>
      </c>
      <c r="K623" s="4"/>
      <c r="L623" s="9">
        <v>29.520499999999998</v>
      </c>
      <c r="M623" s="9">
        <v>12.063700000000001</v>
      </c>
      <c r="N623" s="9">
        <v>4.9444999999999997</v>
      </c>
      <c r="O623" s="9">
        <v>0.37459999999999999</v>
      </c>
      <c r="P623" s="9">
        <v>1.2192000000000001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CONTROL!$C$32, 16.4451, 16.4398) * CHOOSE(CONTROL!$C$15, $D$11, 100%, $F$11)</f>
        <v>16.4451</v>
      </c>
      <c r="C624" s="8">
        <f>CHOOSE( CONTROL!$C$32, 16.4555, 16.4503) * CHOOSE(CONTROL!$C$15, $D$11, 100%, $F$11)</f>
        <v>16.455500000000001</v>
      </c>
      <c r="D624" s="8">
        <f>CHOOSE( CONTROL!$C$32, 16.4665, 16.4612) * CHOOSE( CONTROL!$C$15, $D$11, 100%, $F$11)</f>
        <v>16.4665</v>
      </c>
      <c r="E624" s="12">
        <f>CHOOSE( CONTROL!$C$32, 16.4609, 16.4556) * CHOOSE( CONTROL!$C$15, $D$11, 100%, $F$11)</f>
        <v>16.460899999999999</v>
      </c>
      <c r="F624" s="4">
        <f>CHOOSE( CONTROL!$C$32, 17.4805, 17.4753) * CHOOSE(CONTROL!$C$15, $D$11, 100%, $F$11)</f>
        <v>17.480499999999999</v>
      </c>
      <c r="G624" s="8">
        <f>CHOOSE( CONTROL!$C$32, 16.0229, 16.0178) * CHOOSE( CONTROL!$C$15, $D$11, 100%, $F$11)</f>
        <v>16.0229</v>
      </c>
      <c r="H624" s="4">
        <f>CHOOSE( CONTROL!$C$32, 16.9633, 16.9581) * CHOOSE(CONTROL!$C$15, $D$11, 100%, $F$11)</f>
        <v>16.9633</v>
      </c>
      <c r="I624" s="8">
        <f>CHOOSE( CONTROL!$C$32, 15.8246, 15.8195) * CHOOSE(CONTROL!$C$15, $D$11, 100%, $F$11)</f>
        <v>15.8246</v>
      </c>
      <c r="J624" s="4">
        <f>CHOOSE( CONTROL!$C$32, 15.7529, 15.7479) * CHOOSE(CONTROL!$C$15, $D$11, 100%, $F$11)</f>
        <v>15.7529</v>
      </c>
      <c r="K624" s="4"/>
      <c r="L624" s="9">
        <v>29.520499999999998</v>
      </c>
      <c r="M624" s="9">
        <v>12.063700000000001</v>
      </c>
      <c r="N624" s="9">
        <v>4.9444999999999997</v>
      </c>
      <c r="O624" s="9">
        <v>0.37459999999999999</v>
      </c>
      <c r="P624" s="9">
        <v>1.2192000000000001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CONTROL!$C$32, 16.1008, 16.0956) * CHOOSE(CONTROL!$C$15, $D$11, 100%, $F$11)</f>
        <v>16.1008</v>
      </c>
      <c r="C625" s="8">
        <f>CHOOSE( CONTROL!$C$32, 16.1113, 16.106) * CHOOSE(CONTROL!$C$15, $D$11, 100%, $F$11)</f>
        <v>16.1113</v>
      </c>
      <c r="D625" s="8">
        <f>CHOOSE( CONTROL!$C$32, 16.1223, 16.1171) * CHOOSE( CONTROL!$C$15, $D$11, 100%, $F$11)</f>
        <v>16.122299999999999</v>
      </c>
      <c r="E625" s="12">
        <f>CHOOSE( CONTROL!$C$32, 16.1167, 16.1115) * CHOOSE( CONTROL!$C$15, $D$11, 100%, $F$11)</f>
        <v>16.116700000000002</v>
      </c>
      <c r="F625" s="4">
        <f>CHOOSE( CONTROL!$C$32, 17.1363, 17.131) * CHOOSE(CONTROL!$C$15, $D$11, 100%, $F$11)</f>
        <v>17.136299999999999</v>
      </c>
      <c r="G625" s="8">
        <f>CHOOSE( CONTROL!$C$32, 15.6875, 15.6824) * CHOOSE( CONTROL!$C$15, $D$11, 100%, $F$11)</f>
        <v>15.6875</v>
      </c>
      <c r="H625" s="4">
        <f>CHOOSE( CONTROL!$C$32, 16.6277, 16.6226) * CHOOSE(CONTROL!$C$15, $D$11, 100%, $F$11)</f>
        <v>16.627700000000001</v>
      </c>
      <c r="I625" s="8">
        <f>CHOOSE( CONTROL!$C$32, 15.4952, 15.4902) * CHOOSE(CONTROL!$C$15, $D$11, 100%, $F$11)</f>
        <v>15.495200000000001</v>
      </c>
      <c r="J625" s="4">
        <f>CHOOSE( CONTROL!$C$32, 15.4231, 15.418) * CHOOSE(CONTROL!$C$15, $D$11, 100%, $F$11)</f>
        <v>15.4231</v>
      </c>
      <c r="K625" s="4"/>
      <c r="L625" s="9">
        <v>28.568200000000001</v>
      </c>
      <c r="M625" s="9">
        <v>11.6745</v>
      </c>
      <c r="N625" s="9">
        <v>4.7850000000000001</v>
      </c>
      <c r="O625" s="9">
        <v>0.36249999999999999</v>
      </c>
      <c r="P625" s="9">
        <v>1.1798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16.8104 * CHOOSE(CONTROL!$C$15, $D$11, 100%, $F$11)</f>
        <v>16.810400000000001</v>
      </c>
      <c r="C626" s="8">
        <f>16.8208 * CHOOSE(CONTROL!$C$15, $D$11, 100%, $F$11)</f>
        <v>16.820799999999998</v>
      </c>
      <c r="D626" s="8">
        <f>16.8332 * CHOOSE( CONTROL!$C$15, $D$11, 100%, $F$11)</f>
        <v>16.833200000000001</v>
      </c>
      <c r="E626" s="12">
        <f>16.828 * CHOOSE( CONTROL!$C$15, $D$11, 100%, $F$11)</f>
        <v>16.827999999999999</v>
      </c>
      <c r="F626" s="4">
        <f>17.8458 * CHOOSE(CONTROL!$C$15, $D$11, 100%, $F$11)</f>
        <v>17.845800000000001</v>
      </c>
      <c r="G626" s="8">
        <f>16.3785 * CHOOSE( CONTROL!$C$15, $D$11, 100%, $F$11)</f>
        <v>16.378499999999999</v>
      </c>
      <c r="H626" s="4">
        <f>17.3193 * CHOOSE(CONTROL!$C$15, $D$11, 100%, $F$11)</f>
        <v>17.319299999999998</v>
      </c>
      <c r="I626" s="8">
        <f>16.1769 * CHOOSE(CONTROL!$C$15, $D$11, 100%, $F$11)</f>
        <v>16.1769</v>
      </c>
      <c r="J626" s="4">
        <f>16.1029 * CHOOSE(CONTROL!$C$15, $D$11, 100%, $F$11)</f>
        <v>16.102900000000002</v>
      </c>
      <c r="K626" s="4"/>
      <c r="L626" s="9">
        <v>28.921800000000001</v>
      </c>
      <c r="M626" s="9">
        <v>12.063700000000001</v>
      </c>
      <c r="N626" s="9">
        <v>4.9444999999999997</v>
      </c>
      <c r="O626" s="9">
        <v>0.37459999999999999</v>
      </c>
      <c r="P626" s="9">
        <v>1.2192000000000001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18.1297 * CHOOSE(CONTROL!$C$15, $D$11, 100%, $F$11)</f>
        <v>18.1297</v>
      </c>
      <c r="C627" s="8">
        <f>18.1402 * CHOOSE(CONTROL!$C$15, $D$11, 100%, $F$11)</f>
        <v>18.1402</v>
      </c>
      <c r="D627" s="8">
        <f>18.1239 * CHOOSE( CONTROL!$C$15, $D$11, 100%, $F$11)</f>
        <v>18.123899999999999</v>
      </c>
      <c r="E627" s="12">
        <f>18.1287 * CHOOSE( CONTROL!$C$15, $D$11, 100%, $F$11)</f>
        <v>18.128699999999998</v>
      </c>
      <c r="F627" s="4">
        <f>19.124 * CHOOSE(CONTROL!$C$15, $D$11, 100%, $F$11)</f>
        <v>19.123999999999999</v>
      </c>
      <c r="G627" s="8">
        <f>17.6856 * CHOOSE( CONTROL!$C$15, $D$11, 100%, $F$11)</f>
        <v>17.685600000000001</v>
      </c>
      <c r="H627" s="4">
        <f>18.5652 * CHOOSE(CONTROL!$C$15, $D$11, 100%, $F$11)</f>
        <v>18.565200000000001</v>
      </c>
      <c r="I627" s="8">
        <f>17.4786 * CHOOSE(CONTROL!$C$15, $D$11, 100%, $F$11)</f>
        <v>17.4786</v>
      </c>
      <c r="J627" s="4">
        <f>17.3672 * CHOOSE(CONTROL!$C$15, $D$11, 100%, $F$11)</f>
        <v>17.3672</v>
      </c>
      <c r="K627" s="4"/>
      <c r="L627" s="9">
        <v>26.515499999999999</v>
      </c>
      <c r="M627" s="9">
        <v>11.6745</v>
      </c>
      <c r="N627" s="9">
        <v>4.7850000000000001</v>
      </c>
      <c r="O627" s="9">
        <v>0.36249999999999999</v>
      </c>
      <c r="P627" s="9">
        <v>1.2522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18.0968 * CHOOSE(CONTROL!$C$15, $D$11, 100%, $F$11)</f>
        <v>18.096800000000002</v>
      </c>
      <c r="C628" s="8">
        <f>18.1072 * CHOOSE(CONTROL!$C$15, $D$11, 100%, $F$11)</f>
        <v>18.107199999999999</v>
      </c>
      <c r="D628" s="8">
        <f>18.0933 * CHOOSE( CONTROL!$C$15, $D$11, 100%, $F$11)</f>
        <v>18.093299999999999</v>
      </c>
      <c r="E628" s="12">
        <f>18.0973 * CHOOSE( CONTROL!$C$15, $D$11, 100%, $F$11)</f>
        <v>18.097300000000001</v>
      </c>
      <c r="F628" s="4">
        <f>19.091 * CHOOSE(CONTROL!$C$15, $D$11, 100%, $F$11)</f>
        <v>19.091000000000001</v>
      </c>
      <c r="G628" s="8">
        <f>17.6552 * CHOOSE( CONTROL!$C$15, $D$11, 100%, $F$11)</f>
        <v>17.655200000000001</v>
      </c>
      <c r="H628" s="4">
        <f>18.5331 * CHOOSE(CONTROL!$C$15, $D$11, 100%, $F$11)</f>
        <v>18.533100000000001</v>
      </c>
      <c r="I628" s="8">
        <f>17.4546 * CHOOSE(CONTROL!$C$15, $D$11, 100%, $F$11)</f>
        <v>17.454599999999999</v>
      </c>
      <c r="J628" s="4">
        <f>17.3356 * CHOOSE(CONTROL!$C$15, $D$11, 100%, $F$11)</f>
        <v>17.335599999999999</v>
      </c>
      <c r="K628" s="4"/>
      <c r="L628" s="9">
        <v>27.3993</v>
      </c>
      <c r="M628" s="9">
        <v>12.063700000000001</v>
      </c>
      <c r="N628" s="9">
        <v>4.9444999999999997</v>
      </c>
      <c r="O628" s="9">
        <v>0.37459999999999999</v>
      </c>
      <c r="P628" s="9">
        <v>1.2939000000000001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18.7882 * CHOOSE(CONTROL!$C$15, $D$11, 100%, $F$11)</f>
        <v>18.7882</v>
      </c>
      <c r="C629" s="8">
        <f>18.7987 * CHOOSE(CONTROL!$C$15, $D$11, 100%, $F$11)</f>
        <v>18.7987</v>
      </c>
      <c r="D629" s="8">
        <f>18.798 * CHOOSE( CONTROL!$C$15, $D$11, 100%, $F$11)</f>
        <v>18.797999999999998</v>
      </c>
      <c r="E629" s="12">
        <f>18.7971 * CHOOSE( CONTROL!$C$15, $D$11, 100%, $F$11)</f>
        <v>18.7971</v>
      </c>
      <c r="F629" s="4">
        <f>19.8111 * CHOOSE(CONTROL!$C$15, $D$11, 100%, $F$11)</f>
        <v>19.8111</v>
      </c>
      <c r="G629" s="8">
        <f>18.3428 * CHOOSE( CONTROL!$C$15, $D$11, 100%, $F$11)</f>
        <v>18.3428</v>
      </c>
      <c r="H629" s="4">
        <f>19.2351 * CHOOSE(CONTROL!$C$15, $D$11, 100%, $F$11)</f>
        <v>19.235099999999999</v>
      </c>
      <c r="I629" s="8">
        <f>18.1157 * CHOOSE(CONTROL!$C$15, $D$11, 100%, $F$11)</f>
        <v>18.1157</v>
      </c>
      <c r="J629" s="4">
        <f>17.9981 * CHOOSE(CONTROL!$C$15, $D$11, 100%, $F$11)</f>
        <v>17.998100000000001</v>
      </c>
      <c r="K629" s="4"/>
      <c r="L629" s="9">
        <v>27.3993</v>
      </c>
      <c r="M629" s="9">
        <v>12.063700000000001</v>
      </c>
      <c r="N629" s="9">
        <v>4.9444999999999997</v>
      </c>
      <c r="O629" s="9">
        <v>0.37459999999999999</v>
      </c>
      <c r="P629" s="9">
        <v>1.2939000000000001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17.5739 * CHOOSE(CONTROL!$C$15, $D$11, 100%, $F$11)</f>
        <v>17.573899999999998</v>
      </c>
      <c r="C630" s="8">
        <f>17.5844 * CHOOSE(CONTROL!$C$15, $D$11, 100%, $F$11)</f>
        <v>17.584399999999999</v>
      </c>
      <c r="D630" s="8">
        <f>17.5859 * CHOOSE( CONTROL!$C$15, $D$11, 100%, $F$11)</f>
        <v>17.585899999999999</v>
      </c>
      <c r="E630" s="12">
        <f>17.5842 * CHOOSE( CONTROL!$C$15, $D$11, 100%, $F$11)</f>
        <v>17.584199999999999</v>
      </c>
      <c r="F630" s="4">
        <f>18.589 * CHOOSE(CONTROL!$C$15, $D$11, 100%, $F$11)</f>
        <v>18.588999999999999</v>
      </c>
      <c r="G630" s="8">
        <f>17.1589 * CHOOSE( CONTROL!$C$15, $D$11, 100%, $F$11)</f>
        <v>17.158899999999999</v>
      </c>
      <c r="H630" s="4">
        <f>18.0438 * CHOOSE(CONTROL!$C$15, $D$11, 100%, $F$11)</f>
        <v>18.043800000000001</v>
      </c>
      <c r="I630" s="8">
        <f>16.9407 * CHOOSE(CONTROL!$C$15, $D$11, 100%, $F$11)</f>
        <v>16.9407</v>
      </c>
      <c r="J630" s="4">
        <f>16.8346 * CHOOSE(CONTROL!$C$15, $D$11, 100%, $F$11)</f>
        <v>16.834599999999998</v>
      </c>
      <c r="K630" s="4"/>
      <c r="L630" s="9">
        <v>24.747800000000002</v>
      </c>
      <c r="M630" s="9">
        <v>10.8962</v>
      </c>
      <c r="N630" s="9">
        <v>4.4660000000000002</v>
      </c>
      <c r="O630" s="9">
        <v>0.33829999999999999</v>
      </c>
      <c r="P630" s="9">
        <v>1.1687000000000001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17.1999 * CHOOSE(CONTROL!$C$15, $D$11, 100%, $F$11)</f>
        <v>17.1999</v>
      </c>
      <c r="C631" s="8">
        <f>17.2104 * CHOOSE(CONTROL!$C$15, $D$11, 100%, $F$11)</f>
        <v>17.2104</v>
      </c>
      <c r="D631" s="8">
        <f>17.1914 * CHOOSE( CONTROL!$C$15, $D$11, 100%, $F$11)</f>
        <v>17.191400000000002</v>
      </c>
      <c r="E631" s="12">
        <f>17.1972 * CHOOSE( CONTROL!$C$15, $D$11, 100%, $F$11)</f>
        <v>17.197199999999999</v>
      </c>
      <c r="F631" s="4">
        <f>18.1988 * CHOOSE(CONTROL!$C$15, $D$11, 100%, $F$11)</f>
        <v>18.198799999999999</v>
      </c>
      <c r="G631" s="8">
        <f>16.7736 * CHOOSE( CONTROL!$C$15, $D$11, 100%, $F$11)</f>
        <v>16.773599999999998</v>
      </c>
      <c r="H631" s="4">
        <f>17.6635 * CHOOSE(CONTROL!$C$15, $D$11, 100%, $F$11)</f>
        <v>17.663499999999999</v>
      </c>
      <c r="I631" s="8">
        <f>16.5426 * CHOOSE(CONTROL!$C$15, $D$11, 100%, $F$11)</f>
        <v>16.5426</v>
      </c>
      <c r="J631" s="4">
        <f>16.4762 * CHOOSE(CONTROL!$C$15, $D$11, 100%, $F$11)</f>
        <v>16.476199999999999</v>
      </c>
      <c r="K631" s="4"/>
      <c r="L631" s="9">
        <v>27.3993</v>
      </c>
      <c r="M631" s="9">
        <v>12.063700000000001</v>
      </c>
      <c r="N631" s="9">
        <v>4.9444999999999997</v>
      </c>
      <c r="O631" s="9">
        <v>0.37459999999999999</v>
      </c>
      <c r="P631" s="9">
        <v>1.2939000000000001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17.4613 * CHOOSE(CONTROL!$C$15, $D$11, 100%, $F$11)</f>
        <v>17.461300000000001</v>
      </c>
      <c r="C632" s="8">
        <f>17.4717 * CHOOSE(CONTROL!$C$15, $D$11, 100%, $F$11)</f>
        <v>17.471699999999998</v>
      </c>
      <c r="D632" s="8">
        <f>17.4757 * CHOOSE( CONTROL!$C$15, $D$11, 100%, $F$11)</f>
        <v>17.4757</v>
      </c>
      <c r="E632" s="12">
        <f>17.4732 * CHOOSE( CONTROL!$C$15, $D$11, 100%, $F$11)</f>
        <v>17.473199999999999</v>
      </c>
      <c r="F632" s="4">
        <f>18.4685 * CHOOSE(CONTROL!$C$15, $D$11, 100%, $F$11)</f>
        <v>18.468499999999999</v>
      </c>
      <c r="G632" s="8">
        <f>17.0167 * CHOOSE( CONTROL!$C$15, $D$11, 100%, $F$11)</f>
        <v>17.0167</v>
      </c>
      <c r="H632" s="4">
        <f>17.9263 * CHOOSE(CONTROL!$C$15, $D$11, 100%, $F$11)</f>
        <v>17.926300000000001</v>
      </c>
      <c r="I632" s="8">
        <f>16.7832 * CHOOSE(CONTROL!$C$15, $D$11, 100%, $F$11)</f>
        <v>16.783200000000001</v>
      </c>
      <c r="J632" s="4">
        <f>16.7266 * CHOOSE(CONTROL!$C$15, $D$11, 100%, $F$11)</f>
        <v>16.726600000000001</v>
      </c>
      <c r="K632" s="4"/>
      <c r="L632" s="9">
        <v>27.988800000000001</v>
      </c>
      <c r="M632" s="9">
        <v>11.6745</v>
      </c>
      <c r="N632" s="9">
        <v>4.7850000000000001</v>
      </c>
      <c r="O632" s="9">
        <v>0.36249999999999999</v>
      </c>
      <c r="P632" s="9">
        <v>1.1798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CONTROL!$C$32, 17.9317, 17.9264) * CHOOSE(CONTROL!$C$15, $D$11, 100%, $F$11)</f>
        <v>17.931699999999999</v>
      </c>
      <c r="C633" s="8">
        <f>CHOOSE( CONTROL!$C$32, 17.9421, 17.9368) * CHOOSE(CONTROL!$C$15, $D$11, 100%, $F$11)</f>
        <v>17.9421</v>
      </c>
      <c r="D633" s="8">
        <f>CHOOSE( CONTROL!$C$32, 17.9549, 17.9497) * CHOOSE( CONTROL!$C$15, $D$11, 100%, $F$11)</f>
        <v>17.954899999999999</v>
      </c>
      <c r="E633" s="12">
        <f>CHOOSE( CONTROL!$C$32, 17.9487, 17.9434) * CHOOSE( CONTROL!$C$15, $D$11, 100%, $F$11)</f>
        <v>17.948699999999999</v>
      </c>
      <c r="F633" s="4">
        <f>CHOOSE( CONTROL!$C$32, 18.9546, 18.9493) * CHOOSE(CONTROL!$C$15, $D$11, 100%, $F$11)</f>
        <v>18.954599999999999</v>
      </c>
      <c r="G633" s="8">
        <f>CHOOSE( CONTROL!$C$32, 17.4809, 17.4757) * CHOOSE( CONTROL!$C$15, $D$11, 100%, $F$11)</f>
        <v>17.480899999999998</v>
      </c>
      <c r="H633" s="4">
        <f>CHOOSE( CONTROL!$C$32, 18.4001, 18.395) * CHOOSE(CONTROL!$C$15, $D$11, 100%, $F$11)</f>
        <v>18.400099999999998</v>
      </c>
      <c r="I633" s="8">
        <f>CHOOSE( CONTROL!$C$32, 17.2395, 17.2345) * CHOOSE(CONTROL!$C$15, $D$11, 100%, $F$11)</f>
        <v>17.2395</v>
      </c>
      <c r="J633" s="4">
        <f>CHOOSE( CONTROL!$C$32, 17.1774, 17.1723) * CHOOSE(CONTROL!$C$15, $D$11, 100%, $F$11)</f>
        <v>17.177399999999999</v>
      </c>
      <c r="K633" s="4"/>
      <c r="L633" s="9">
        <v>29.520499999999998</v>
      </c>
      <c r="M633" s="9">
        <v>12.063700000000001</v>
      </c>
      <c r="N633" s="9">
        <v>4.9444999999999997</v>
      </c>
      <c r="O633" s="9">
        <v>0.37459999999999999</v>
      </c>
      <c r="P633" s="9">
        <v>1.2192000000000001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CONTROL!$C$32, 17.6435, 17.6383) * CHOOSE(CONTROL!$C$15, $D$11, 100%, $F$11)</f>
        <v>17.6435</v>
      </c>
      <c r="C634" s="8">
        <f>CHOOSE( CONTROL!$C$32, 17.654, 17.6487) * CHOOSE(CONTROL!$C$15, $D$11, 100%, $F$11)</f>
        <v>17.654</v>
      </c>
      <c r="D634" s="8">
        <f>CHOOSE( CONTROL!$C$32, 17.6744, 17.6691) * CHOOSE( CONTROL!$C$15, $D$11, 100%, $F$11)</f>
        <v>17.674399999999999</v>
      </c>
      <c r="E634" s="12">
        <f>CHOOSE( CONTROL!$C$32, 17.6654, 17.6601) * CHOOSE( CONTROL!$C$15, $D$11, 100%, $F$11)</f>
        <v>17.665400000000002</v>
      </c>
      <c r="F634" s="4">
        <f>CHOOSE( CONTROL!$C$32, 18.679, 18.6737) * CHOOSE(CONTROL!$C$15, $D$11, 100%, $F$11)</f>
        <v>18.678999999999998</v>
      </c>
      <c r="G634" s="8">
        <f>CHOOSE( CONTROL!$C$32, 17.2039, 17.1987) * CHOOSE( CONTROL!$C$15, $D$11, 100%, $F$11)</f>
        <v>17.203900000000001</v>
      </c>
      <c r="H634" s="4">
        <f>CHOOSE( CONTROL!$C$32, 18.1315, 18.1263) * CHOOSE(CONTROL!$C$15, $D$11, 100%, $F$11)</f>
        <v>18.131499999999999</v>
      </c>
      <c r="I634" s="8">
        <f>CHOOSE( CONTROL!$C$32, 16.9685, 16.9635) * CHOOSE(CONTROL!$C$15, $D$11, 100%, $F$11)</f>
        <v>16.968499999999999</v>
      </c>
      <c r="J634" s="4">
        <f>CHOOSE( CONTROL!$C$32, 16.9013, 16.8962) * CHOOSE(CONTROL!$C$15, $D$11, 100%, $F$11)</f>
        <v>16.901299999999999</v>
      </c>
      <c r="K634" s="4"/>
      <c r="L634" s="9">
        <v>28.568200000000001</v>
      </c>
      <c r="M634" s="9">
        <v>11.6745</v>
      </c>
      <c r="N634" s="9">
        <v>4.7850000000000001</v>
      </c>
      <c r="O634" s="9">
        <v>0.36249999999999999</v>
      </c>
      <c r="P634" s="9">
        <v>1.1798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CONTROL!$C$32, 18.4023, 18.397) * CHOOSE(CONTROL!$C$15, $D$11, 100%, $F$11)</f>
        <v>18.4023</v>
      </c>
      <c r="C635" s="8">
        <f>CHOOSE( CONTROL!$C$32, 18.4127, 18.4075) * CHOOSE(CONTROL!$C$15, $D$11, 100%, $F$11)</f>
        <v>18.412700000000001</v>
      </c>
      <c r="D635" s="8">
        <f>CHOOSE( CONTROL!$C$32, 18.4233, 18.4181) * CHOOSE( CONTROL!$C$15, $D$11, 100%, $F$11)</f>
        <v>18.423300000000001</v>
      </c>
      <c r="E635" s="12">
        <f>CHOOSE( CONTROL!$C$32, 18.4179, 18.4127) * CHOOSE( CONTROL!$C$15, $D$11, 100%, $F$11)</f>
        <v>18.417899999999999</v>
      </c>
      <c r="F635" s="4">
        <f>CHOOSE( CONTROL!$C$32, 19.4377, 19.4325) * CHOOSE(CONTROL!$C$15, $D$11, 100%, $F$11)</f>
        <v>19.4377</v>
      </c>
      <c r="G635" s="8">
        <f>CHOOSE( CONTROL!$C$32, 17.9302, 17.9251) * CHOOSE( CONTROL!$C$15, $D$11, 100%, $F$11)</f>
        <v>17.930199999999999</v>
      </c>
      <c r="H635" s="4">
        <f>CHOOSE( CONTROL!$C$32, 18.8711, 18.866) * CHOOSE(CONTROL!$C$15, $D$11, 100%, $F$11)</f>
        <v>18.871099999999998</v>
      </c>
      <c r="I635" s="8">
        <f>CHOOSE( CONTROL!$C$32, 17.6993, 17.6943) * CHOOSE(CONTROL!$C$15, $D$11, 100%, $F$11)</f>
        <v>17.699300000000001</v>
      </c>
      <c r="J635" s="4">
        <f>CHOOSE( CONTROL!$C$32, 17.6283, 17.6233) * CHOOSE(CONTROL!$C$15, $D$11, 100%, $F$11)</f>
        <v>17.628299999999999</v>
      </c>
      <c r="K635" s="4"/>
      <c r="L635" s="9">
        <v>29.520499999999998</v>
      </c>
      <c r="M635" s="9">
        <v>12.063700000000001</v>
      </c>
      <c r="N635" s="9">
        <v>4.9444999999999997</v>
      </c>
      <c r="O635" s="9">
        <v>0.37459999999999999</v>
      </c>
      <c r="P635" s="9">
        <v>1.2192000000000001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CONTROL!$C$32, 16.9826, 16.9773) * CHOOSE(CONTROL!$C$15, $D$11, 100%, $F$11)</f>
        <v>16.982600000000001</v>
      </c>
      <c r="C636" s="8">
        <f>CHOOSE( CONTROL!$C$32, 16.993, 16.9877) * CHOOSE(CONTROL!$C$15, $D$11, 100%, $F$11)</f>
        <v>16.992999999999999</v>
      </c>
      <c r="D636" s="8">
        <f>CHOOSE( CONTROL!$C$32, 17.0039, 16.9987) * CHOOSE( CONTROL!$C$15, $D$11, 100%, $F$11)</f>
        <v>17.003900000000002</v>
      </c>
      <c r="E636" s="12">
        <f>CHOOSE( CONTROL!$C$32, 16.9984, 16.9931) * CHOOSE( CONTROL!$C$15, $D$11, 100%, $F$11)</f>
        <v>16.9984</v>
      </c>
      <c r="F636" s="4">
        <f>CHOOSE( CONTROL!$C$32, 18.018, 18.0127) * CHOOSE(CONTROL!$C$15, $D$11, 100%, $F$11)</f>
        <v>18.018000000000001</v>
      </c>
      <c r="G636" s="8">
        <f>CHOOSE( CONTROL!$C$32, 16.5468, 16.5417) * CHOOSE( CONTROL!$C$15, $D$11, 100%, $F$11)</f>
        <v>16.546800000000001</v>
      </c>
      <c r="H636" s="4">
        <f>CHOOSE( CONTROL!$C$32, 17.4872, 17.4821) * CHOOSE(CONTROL!$C$15, $D$11, 100%, $F$11)</f>
        <v>17.487200000000001</v>
      </c>
      <c r="I636" s="8">
        <f>CHOOSE( CONTROL!$C$32, 16.3398, 16.3348) * CHOOSE(CONTROL!$C$15, $D$11, 100%, $F$11)</f>
        <v>16.3398</v>
      </c>
      <c r="J636" s="4">
        <f>CHOOSE( CONTROL!$C$32, 16.2679, 16.2629) * CHOOSE(CONTROL!$C$15, $D$11, 100%, $F$11)</f>
        <v>16.267900000000001</v>
      </c>
      <c r="K636" s="4"/>
      <c r="L636" s="9">
        <v>29.520499999999998</v>
      </c>
      <c r="M636" s="9">
        <v>12.063700000000001</v>
      </c>
      <c r="N636" s="9">
        <v>4.9444999999999997</v>
      </c>
      <c r="O636" s="9">
        <v>0.37459999999999999</v>
      </c>
      <c r="P636" s="9">
        <v>1.2192000000000001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CONTROL!$C$32, 16.627, 16.6218) * CHOOSE(CONTROL!$C$15, $D$11, 100%, $F$11)</f>
        <v>16.626999999999999</v>
      </c>
      <c r="C637" s="8">
        <f>CHOOSE( CONTROL!$C$32, 16.6375, 16.6322) * CHOOSE(CONTROL!$C$15, $D$11, 100%, $F$11)</f>
        <v>16.637499999999999</v>
      </c>
      <c r="D637" s="8">
        <f>CHOOSE( CONTROL!$C$32, 16.6486, 16.6433) * CHOOSE( CONTROL!$C$15, $D$11, 100%, $F$11)</f>
        <v>16.648599999999998</v>
      </c>
      <c r="E637" s="12">
        <f>CHOOSE( CONTROL!$C$32, 16.643, 16.6377) * CHOOSE( CONTROL!$C$15, $D$11, 100%, $F$11)</f>
        <v>16.643000000000001</v>
      </c>
      <c r="F637" s="4">
        <f>CHOOSE( CONTROL!$C$32, 17.6625, 17.6572) * CHOOSE(CONTROL!$C$15, $D$11, 100%, $F$11)</f>
        <v>17.662500000000001</v>
      </c>
      <c r="G637" s="8">
        <f>CHOOSE( CONTROL!$C$32, 16.2005, 16.1954) * CHOOSE( CONTROL!$C$15, $D$11, 100%, $F$11)</f>
        <v>16.200500000000002</v>
      </c>
      <c r="H637" s="4">
        <f>CHOOSE( CONTROL!$C$32, 17.1406, 17.1355) * CHOOSE(CONTROL!$C$15, $D$11, 100%, $F$11)</f>
        <v>17.140599999999999</v>
      </c>
      <c r="I637" s="8">
        <f>CHOOSE( CONTROL!$C$32, 15.9997, 15.9947) * CHOOSE(CONTROL!$C$15, $D$11, 100%, $F$11)</f>
        <v>15.999700000000001</v>
      </c>
      <c r="J637" s="4">
        <f>CHOOSE( CONTROL!$C$32, 15.9273, 15.9222) * CHOOSE(CONTROL!$C$15, $D$11, 100%, $F$11)</f>
        <v>15.927300000000001</v>
      </c>
      <c r="K637" s="4"/>
      <c r="L637" s="9">
        <v>28.568200000000001</v>
      </c>
      <c r="M637" s="9">
        <v>11.6745</v>
      </c>
      <c r="N637" s="9">
        <v>4.7850000000000001</v>
      </c>
      <c r="O637" s="9">
        <v>0.36249999999999999</v>
      </c>
      <c r="P637" s="9">
        <v>1.1798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17.36 * CHOOSE(CONTROL!$C$15, $D$11, 100%, $F$11)</f>
        <v>17.36</v>
      </c>
      <c r="C638" s="8">
        <f>17.3704 * CHOOSE(CONTROL!$C$15, $D$11, 100%, $F$11)</f>
        <v>17.3704</v>
      </c>
      <c r="D638" s="8">
        <f>17.3828 * CHOOSE( CONTROL!$C$15, $D$11, 100%, $F$11)</f>
        <v>17.3828</v>
      </c>
      <c r="E638" s="12">
        <f>17.3776 * CHOOSE( CONTROL!$C$15, $D$11, 100%, $F$11)</f>
        <v>17.377600000000001</v>
      </c>
      <c r="F638" s="4">
        <f>18.3954 * CHOOSE(CONTROL!$C$15, $D$11, 100%, $F$11)</f>
        <v>18.395399999999999</v>
      </c>
      <c r="G638" s="8">
        <f>16.9143 * CHOOSE( CONTROL!$C$15, $D$11, 100%, $F$11)</f>
        <v>16.914300000000001</v>
      </c>
      <c r="H638" s="4">
        <f>17.8551 * CHOOSE(CONTROL!$C$15, $D$11, 100%, $F$11)</f>
        <v>17.8551</v>
      </c>
      <c r="I638" s="8">
        <f>16.7038 * CHOOSE(CONTROL!$C$15, $D$11, 100%, $F$11)</f>
        <v>16.703800000000001</v>
      </c>
      <c r="J638" s="4">
        <f>16.6296 * CHOOSE(CONTROL!$C$15, $D$11, 100%, $F$11)</f>
        <v>16.6296</v>
      </c>
      <c r="K638" s="4"/>
      <c r="L638" s="9">
        <v>28.921800000000001</v>
      </c>
      <c r="M638" s="9">
        <v>12.063700000000001</v>
      </c>
      <c r="N638" s="9">
        <v>4.9444999999999997</v>
      </c>
      <c r="O638" s="9">
        <v>0.37459999999999999</v>
      </c>
      <c r="P638" s="9">
        <v>1.2192000000000001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18.7225 * CHOOSE(CONTROL!$C$15, $D$11, 100%, $F$11)</f>
        <v>18.7225</v>
      </c>
      <c r="C639" s="8">
        <f>18.7329 * CHOOSE(CONTROL!$C$15, $D$11, 100%, $F$11)</f>
        <v>18.732900000000001</v>
      </c>
      <c r="D639" s="8">
        <f>18.7167 * CHOOSE( CONTROL!$C$15, $D$11, 100%, $F$11)</f>
        <v>18.716699999999999</v>
      </c>
      <c r="E639" s="12">
        <f>18.7215 * CHOOSE( CONTROL!$C$15, $D$11, 100%, $F$11)</f>
        <v>18.721499999999999</v>
      </c>
      <c r="F639" s="4">
        <f>19.7167 * CHOOSE(CONTROL!$C$15, $D$11, 100%, $F$11)</f>
        <v>19.716699999999999</v>
      </c>
      <c r="G639" s="8">
        <f>18.2634 * CHOOSE( CONTROL!$C$15, $D$11, 100%, $F$11)</f>
        <v>18.263400000000001</v>
      </c>
      <c r="H639" s="4">
        <f>19.143 * CHOOSE(CONTROL!$C$15, $D$11, 100%, $F$11)</f>
        <v>19.143000000000001</v>
      </c>
      <c r="I639" s="8">
        <f>18.0468 * CHOOSE(CONTROL!$C$15, $D$11, 100%, $F$11)</f>
        <v>18.046800000000001</v>
      </c>
      <c r="J639" s="4">
        <f>17.9351 * CHOOSE(CONTROL!$C$15, $D$11, 100%, $F$11)</f>
        <v>17.935099999999998</v>
      </c>
      <c r="K639" s="4"/>
      <c r="L639" s="9">
        <v>26.515499999999999</v>
      </c>
      <c r="M639" s="9">
        <v>11.6745</v>
      </c>
      <c r="N639" s="9">
        <v>4.7850000000000001</v>
      </c>
      <c r="O639" s="9">
        <v>0.36249999999999999</v>
      </c>
      <c r="P639" s="9">
        <v>1.2522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18.6885 * CHOOSE(CONTROL!$C$15, $D$11, 100%, $F$11)</f>
        <v>18.688500000000001</v>
      </c>
      <c r="C640" s="8">
        <f>18.6989 * CHOOSE(CONTROL!$C$15, $D$11, 100%, $F$11)</f>
        <v>18.698899999999998</v>
      </c>
      <c r="D640" s="8">
        <f>18.6849 * CHOOSE( CONTROL!$C$15, $D$11, 100%, $F$11)</f>
        <v>18.684899999999999</v>
      </c>
      <c r="E640" s="12">
        <f>18.6889 * CHOOSE( CONTROL!$C$15, $D$11, 100%, $F$11)</f>
        <v>18.6889</v>
      </c>
      <c r="F640" s="4">
        <f>19.6827 * CHOOSE(CONTROL!$C$15, $D$11, 100%, $F$11)</f>
        <v>19.682700000000001</v>
      </c>
      <c r="G640" s="8">
        <f>18.232 * CHOOSE( CONTROL!$C$15, $D$11, 100%, $F$11)</f>
        <v>18.231999999999999</v>
      </c>
      <c r="H640" s="4">
        <f>19.1098 * CHOOSE(CONTROL!$C$15, $D$11, 100%, $F$11)</f>
        <v>19.1098</v>
      </c>
      <c r="I640" s="8">
        <f>18.0218 * CHOOSE(CONTROL!$C$15, $D$11, 100%, $F$11)</f>
        <v>18.021799999999999</v>
      </c>
      <c r="J640" s="4">
        <f>17.9025 * CHOOSE(CONTROL!$C$15, $D$11, 100%, $F$11)</f>
        <v>17.9025</v>
      </c>
      <c r="K640" s="4"/>
      <c r="L640" s="9">
        <v>27.3993</v>
      </c>
      <c r="M640" s="9">
        <v>12.063700000000001</v>
      </c>
      <c r="N640" s="9">
        <v>4.9444999999999997</v>
      </c>
      <c r="O640" s="9">
        <v>0.37459999999999999</v>
      </c>
      <c r="P640" s="9">
        <v>1.2939000000000001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19.4025 * CHOOSE(CONTROL!$C$15, $D$11, 100%, $F$11)</f>
        <v>19.4025</v>
      </c>
      <c r="C641" s="8">
        <f>19.413 * CHOOSE(CONTROL!$C$15, $D$11, 100%, $F$11)</f>
        <v>19.413</v>
      </c>
      <c r="D641" s="8">
        <f>19.4123 * CHOOSE( CONTROL!$C$15, $D$11, 100%, $F$11)</f>
        <v>19.412299999999998</v>
      </c>
      <c r="E641" s="12">
        <f>19.4114 * CHOOSE( CONTROL!$C$15, $D$11, 100%, $F$11)</f>
        <v>19.4114</v>
      </c>
      <c r="F641" s="4">
        <f>20.4254 * CHOOSE(CONTROL!$C$15, $D$11, 100%, $F$11)</f>
        <v>20.4254</v>
      </c>
      <c r="G641" s="8">
        <f>18.9416 * CHOOSE( CONTROL!$C$15, $D$11, 100%, $F$11)</f>
        <v>18.941600000000001</v>
      </c>
      <c r="H641" s="4">
        <f>19.8339 * CHOOSE(CONTROL!$C$15, $D$11, 100%, $F$11)</f>
        <v>19.8339</v>
      </c>
      <c r="I641" s="8">
        <f>18.7046 * CHOOSE(CONTROL!$C$15, $D$11, 100%, $F$11)</f>
        <v>18.704599999999999</v>
      </c>
      <c r="J641" s="4">
        <f>18.5867 * CHOOSE(CONTROL!$C$15, $D$11, 100%, $F$11)</f>
        <v>18.5867</v>
      </c>
      <c r="K641" s="4"/>
      <c r="L641" s="9">
        <v>27.3993</v>
      </c>
      <c r="M641" s="9">
        <v>12.063700000000001</v>
      </c>
      <c r="N641" s="9">
        <v>4.9444999999999997</v>
      </c>
      <c r="O641" s="9">
        <v>0.37459999999999999</v>
      </c>
      <c r="P641" s="9">
        <v>1.2939000000000001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18.1485 * CHOOSE(CONTROL!$C$15, $D$11, 100%, $F$11)</f>
        <v>18.148499999999999</v>
      </c>
      <c r="C642" s="8">
        <f>18.1589 * CHOOSE(CONTROL!$C$15, $D$11, 100%, $F$11)</f>
        <v>18.158899999999999</v>
      </c>
      <c r="D642" s="8">
        <f>18.1604 * CHOOSE( CONTROL!$C$15, $D$11, 100%, $F$11)</f>
        <v>18.160399999999999</v>
      </c>
      <c r="E642" s="12">
        <f>18.1587 * CHOOSE( CONTROL!$C$15, $D$11, 100%, $F$11)</f>
        <v>18.1587</v>
      </c>
      <c r="F642" s="4">
        <f>19.1636 * CHOOSE(CONTROL!$C$15, $D$11, 100%, $F$11)</f>
        <v>19.163599999999999</v>
      </c>
      <c r="G642" s="8">
        <f>17.719 * CHOOSE( CONTROL!$C$15, $D$11, 100%, $F$11)</f>
        <v>17.719000000000001</v>
      </c>
      <c r="H642" s="4">
        <f>18.6039 * CHOOSE(CONTROL!$C$15, $D$11, 100%, $F$11)</f>
        <v>18.603899999999999</v>
      </c>
      <c r="I642" s="8">
        <f>17.4915 * CHOOSE(CONTROL!$C$15, $D$11, 100%, $F$11)</f>
        <v>17.491499999999998</v>
      </c>
      <c r="J642" s="4">
        <f>17.3851 * CHOOSE(CONTROL!$C$15, $D$11, 100%, $F$11)</f>
        <v>17.385100000000001</v>
      </c>
      <c r="K642" s="4"/>
      <c r="L642" s="9">
        <v>25.631599999999999</v>
      </c>
      <c r="M642" s="9">
        <v>11.285299999999999</v>
      </c>
      <c r="N642" s="9">
        <v>4.6254999999999997</v>
      </c>
      <c r="O642" s="9">
        <v>0.35039999999999999</v>
      </c>
      <c r="P642" s="9">
        <v>1.2104999999999999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17.7623 * CHOOSE(CONTROL!$C$15, $D$11, 100%, $F$11)</f>
        <v>17.7623</v>
      </c>
      <c r="C643" s="8">
        <f>17.7727 * CHOOSE(CONTROL!$C$15, $D$11, 100%, $F$11)</f>
        <v>17.7727</v>
      </c>
      <c r="D643" s="8">
        <f>17.7537 * CHOOSE( CONTROL!$C$15, $D$11, 100%, $F$11)</f>
        <v>17.753699999999998</v>
      </c>
      <c r="E643" s="12">
        <f>17.7595 * CHOOSE( CONTROL!$C$15, $D$11, 100%, $F$11)</f>
        <v>17.759499999999999</v>
      </c>
      <c r="F643" s="4">
        <f>18.7612 * CHOOSE(CONTROL!$C$15, $D$11, 100%, $F$11)</f>
        <v>18.761199999999999</v>
      </c>
      <c r="G643" s="8">
        <f>17.3218 * CHOOSE( CONTROL!$C$15, $D$11, 100%, $F$11)</f>
        <v>17.3218</v>
      </c>
      <c r="H643" s="4">
        <f>18.2116 * CHOOSE(CONTROL!$C$15, $D$11, 100%, $F$11)</f>
        <v>18.211600000000001</v>
      </c>
      <c r="I643" s="8">
        <f>17.0817 * CHOOSE(CONTROL!$C$15, $D$11, 100%, $F$11)</f>
        <v>17.081700000000001</v>
      </c>
      <c r="J643" s="4">
        <f>17.0151 * CHOOSE(CONTROL!$C$15, $D$11, 100%, $F$11)</f>
        <v>17.0151</v>
      </c>
      <c r="K643" s="4"/>
      <c r="L643" s="9">
        <v>27.3993</v>
      </c>
      <c r="M643" s="9">
        <v>12.063700000000001</v>
      </c>
      <c r="N643" s="9">
        <v>4.9444999999999997</v>
      </c>
      <c r="O643" s="9">
        <v>0.37459999999999999</v>
      </c>
      <c r="P643" s="9">
        <v>1.2939000000000001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18.0322 * CHOOSE(CONTROL!$C$15, $D$11, 100%, $F$11)</f>
        <v>18.0322</v>
      </c>
      <c r="C644" s="8">
        <f>18.0426 * CHOOSE(CONTROL!$C$15, $D$11, 100%, $F$11)</f>
        <v>18.0426</v>
      </c>
      <c r="D644" s="8">
        <f>18.0466 * CHOOSE( CONTROL!$C$15, $D$11, 100%, $F$11)</f>
        <v>18.046600000000002</v>
      </c>
      <c r="E644" s="12">
        <f>18.0441 * CHOOSE( CONTROL!$C$15, $D$11, 100%, $F$11)</f>
        <v>18.0441</v>
      </c>
      <c r="F644" s="4">
        <f>19.0394 * CHOOSE(CONTROL!$C$15, $D$11, 100%, $F$11)</f>
        <v>19.039400000000001</v>
      </c>
      <c r="G644" s="8">
        <f>17.5732 * CHOOSE( CONTROL!$C$15, $D$11, 100%, $F$11)</f>
        <v>17.5732</v>
      </c>
      <c r="H644" s="4">
        <f>18.4828 * CHOOSE(CONTROL!$C$15, $D$11, 100%, $F$11)</f>
        <v>18.482800000000001</v>
      </c>
      <c r="I644" s="8">
        <f>17.3305 * CHOOSE(CONTROL!$C$15, $D$11, 100%, $F$11)</f>
        <v>17.330500000000001</v>
      </c>
      <c r="J644" s="4">
        <f>17.2737 * CHOOSE(CONTROL!$C$15, $D$11, 100%, $F$11)</f>
        <v>17.273700000000002</v>
      </c>
      <c r="K644" s="4"/>
      <c r="L644" s="9">
        <v>27.988800000000001</v>
      </c>
      <c r="M644" s="9">
        <v>11.6745</v>
      </c>
      <c r="N644" s="9">
        <v>4.7850000000000001</v>
      </c>
      <c r="O644" s="9">
        <v>0.36249999999999999</v>
      </c>
      <c r="P644" s="9">
        <v>1.1798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CONTROL!$C$32, 18.5178, 18.5125) * CHOOSE(CONTROL!$C$15, $D$11, 100%, $F$11)</f>
        <v>18.517800000000001</v>
      </c>
      <c r="C645" s="8">
        <f>CHOOSE( CONTROL!$C$32, 18.5282, 18.5229) * CHOOSE(CONTROL!$C$15, $D$11, 100%, $F$11)</f>
        <v>18.528199999999998</v>
      </c>
      <c r="D645" s="8">
        <f>CHOOSE( CONTROL!$C$32, 18.541, 18.5358) * CHOOSE( CONTROL!$C$15, $D$11, 100%, $F$11)</f>
        <v>18.541</v>
      </c>
      <c r="E645" s="12">
        <f>CHOOSE( CONTROL!$C$32, 18.5348, 18.5295) * CHOOSE( CONTROL!$C$15, $D$11, 100%, $F$11)</f>
        <v>18.534800000000001</v>
      </c>
      <c r="F645" s="4">
        <f>CHOOSE( CONTROL!$C$32, 19.5407, 19.5354) * CHOOSE(CONTROL!$C$15, $D$11, 100%, $F$11)</f>
        <v>19.540700000000001</v>
      </c>
      <c r="G645" s="8">
        <f>CHOOSE( CONTROL!$C$32, 18.0522, 18.0471) * CHOOSE( CONTROL!$C$15, $D$11, 100%, $F$11)</f>
        <v>18.052199999999999</v>
      </c>
      <c r="H645" s="4">
        <f>CHOOSE( CONTROL!$C$32, 18.9714, 18.9663) * CHOOSE(CONTROL!$C$15, $D$11, 100%, $F$11)</f>
        <v>18.971399999999999</v>
      </c>
      <c r="I645" s="8">
        <f>CHOOSE( CONTROL!$C$32, 17.8014, 17.7963) * CHOOSE(CONTROL!$C$15, $D$11, 100%, $F$11)</f>
        <v>17.801400000000001</v>
      </c>
      <c r="J645" s="4">
        <f>CHOOSE( CONTROL!$C$32, 17.739, 17.7339) * CHOOSE(CONTROL!$C$15, $D$11, 100%, $F$11)</f>
        <v>17.739000000000001</v>
      </c>
      <c r="K645" s="4"/>
      <c r="L645" s="9">
        <v>29.520499999999998</v>
      </c>
      <c r="M645" s="9">
        <v>12.063700000000001</v>
      </c>
      <c r="N645" s="9">
        <v>4.9444999999999997</v>
      </c>
      <c r="O645" s="9">
        <v>0.37459999999999999</v>
      </c>
      <c r="P645" s="9">
        <v>1.2192000000000001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CONTROL!$C$32, 18.2202, 18.215) * CHOOSE(CONTROL!$C$15, $D$11, 100%, $F$11)</f>
        <v>18.220199999999998</v>
      </c>
      <c r="C646" s="8">
        <f>CHOOSE( CONTROL!$C$32, 18.2306, 18.2254) * CHOOSE(CONTROL!$C$15, $D$11, 100%, $F$11)</f>
        <v>18.230599999999999</v>
      </c>
      <c r="D646" s="8">
        <f>CHOOSE( CONTROL!$C$32, 18.2511, 18.2458) * CHOOSE( CONTROL!$C$15, $D$11, 100%, $F$11)</f>
        <v>18.251100000000001</v>
      </c>
      <c r="E646" s="12">
        <f>CHOOSE( CONTROL!$C$32, 18.2421, 18.2368) * CHOOSE( CONTROL!$C$15, $D$11, 100%, $F$11)</f>
        <v>18.242100000000001</v>
      </c>
      <c r="F646" s="4">
        <f>CHOOSE( CONTROL!$C$32, 19.2556, 19.2504) * CHOOSE(CONTROL!$C$15, $D$11, 100%, $F$11)</f>
        <v>19.255600000000001</v>
      </c>
      <c r="G646" s="8">
        <f>CHOOSE( CONTROL!$C$32, 17.766, 17.7609) * CHOOSE( CONTROL!$C$15, $D$11, 100%, $F$11)</f>
        <v>17.765999999999998</v>
      </c>
      <c r="H646" s="4">
        <f>CHOOSE( CONTROL!$C$32, 18.6936, 18.6885) * CHOOSE(CONTROL!$C$15, $D$11, 100%, $F$11)</f>
        <v>18.6936</v>
      </c>
      <c r="I646" s="8">
        <f>CHOOSE( CONTROL!$C$32, 17.5213, 17.5163) * CHOOSE(CONTROL!$C$15, $D$11, 100%, $F$11)</f>
        <v>17.5213</v>
      </c>
      <c r="J646" s="4">
        <f>CHOOSE( CONTROL!$C$32, 17.4538, 17.4488) * CHOOSE(CONTROL!$C$15, $D$11, 100%, $F$11)</f>
        <v>17.453800000000001</v>
      </c>
      <c r="K646" s="4"/>
      <c r="L646" s="9">
        <v>28.568200000000001</v>
      </c>
      <c r="M646" s="9">
        <v>11.6745</v>
      </c>
      <c r="N646" s="9">
        <v>4.7850000000000001</v>
      </c>
      <c r="O646" s="9">
        <v>0.36249999999999999</v>
      </c>
      <c r="P646" s="9">
        <v>1.1798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CONTROL!$C$32, 19.0038, 18.9985) * CHOOSE(CONTROL!$C$15, $D$11, 100%, $F$11)</f>
        <v>19.003799999999998</v>
      </c>
      <c r="C647" s="8">
        <f>CHOOSE( CONTROL!$C$32, 19.0142, 19.009) * CHOOSE(CONTROL!$C$15, $D$11, 100%, $F$11)</f>
        <v>19.014199999999999</v>
      </c>
      <c r="D647" s="8">
        <f>CHOOSE( CONTROL!$C$32, 19.0248, 19.0196) * CHOOSE( CONTROL!$C$15, $D$11, 100%, $F$11)</f>
        <v>19.024799999999999</v>
      </c>
      <c r="E647" s="12">
        <f>CHOOSE( CONTROL!$C$32, 19.0194, 19.0142) * CHOOSE( CONTROL!$C$15, $D$11, 100%, $F$11)</f>
        <v>19.019400000000001</v>
      </c>
      <c r="F647" s="4">
        <f>CHOOSE( CONTROL!$C$32, 20.0392, 20.034) * CHOOSE(CONTROL!$C$15, $D$11, 100%, $F$11)</f>
        <v>20.039200000000001</v>
      </c>
      <c r="G647" s="8">
        <f>CHOOSE( CONTROL!$C$32, 18.5166, 18.5114) * CHOOSE( CONTROL!$C$15, $D$11, 100%, $F$11)</f>
        <v>18.5166</v>
      </c>
      <c r="H647" s="4">
        <f>CHOOSE( CONTROL!$C$32, 19.4574, 19.4523) * CHOOSE(CONTROL!$C$15, $D$11, 100%, $F$11)</f>
        <v>19.4574</v>
      </c>
      <c r="I647" s="8">
        <f>CHOOSE( CONTROL!$C$32, 18.2759, 18.2709) * CHOOSE(CONTROL!$C$15, $D$11, 100%, $F$11)</f>
        <v>18.2759</v>
      </c>
      <c r="J647" s="4">
        <f>CHOOSE( CONTROL!$C$32, 18.2047, 18.1996) * CHOOSE(CONTROL!$C$15, $D$11, 100%, $F$11)</f>
        <v>18.204699999999999</v>
      </c>
      <c r="K647" s="4"/>
      <c r="L647" s="9">
        <v>29.520499999999998</v>
      </c>
      <c r="M647" s="9">
        <v>12.063700000000001</v>
      </c>
      <c r="N647" s="9">
        <v>4.9444999999999997</v>
      </c>
      <c r="O647" s="9">
        <v>0.37459999999999999</v>
      </c>
      <c r="P647" s="9">
        <v>1.2192000000000001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CONTROL!$C$32, 17.5376, 17.5324) * CHOOSE(CONTROL!$C$15, $D$11, 100%, $F$11)</f>
        <v>17.537600000000001</v>
      </c>
      <c r="C648" s="8">
        <f>CHOOSE( CONTROL!$C$32, 17.5481, 17.5428) * CHOOSE(CONTROL!$C$15, $D$11, 100%, $F$11)</f>
        <v>17.548100000000002</v>
      </c>
      <c r="D648" s="8">
        <f>CHOOSE( CONTROL!$C$32, 17.559, 17.5537) * CHOOSE( CONTROL!$C$15, $D$11, 100%, $F$11)</f>
        <v>17.559000000000001</v>
      </c>
      <c r="E648" s="12">
        <f>CHOOSE( CONTROL!$C$32, 17.5534, 17.5482) * CHOOSE( CONTROL!$C$15, $D$11, 100%, $F$11)</f>
        <v>17.5534</v>
      </c>
      <c r="F648" s="4">
        <f>CHOOSE( CONTROL!$C$32, 18.5731, 18.5678) * CHOOSE(CONTROL!$C$15, $D$11, 100%, $F$11)</f>
        <v>18.5731</v>
      </c>
      <c r="G648" s="8">
        <f>CHOOSE( CONTROL!$C$32, 17.0879, 17.0827) * CHOOSE( CONTROL!$C$15, $D$11, 100%, $F$11)</f>
        <v>17.087900000000001</v>
      </c>
      <c r="H648" s="4">
        <f>CHOOSE( CONTROL!$C$32, 18.0282, 18.0231) * CHOOSE(CONTROL!$C$15, $D$11, 100%, $F$11)</f>
        <v>18.028199999999998</v>
      </c>
      <c r="I648" s="8">
        <f>CHOOSE( CONTROL!$C$32, 16.872, 16.8669) * CHOOSE(CONTROL!$C$15, $D$11, 100%, $F$11)</f>
        <v>16.872</v>
      </c>
      <c r="J648" s="4">
        <f>CHOOSE( CONTROL!$C$32, 16.7998, 16.7948) * CHOOSE(CONTROL!$C$15, $D$11, 100%, $F$11)</f>
        <v>16.799800000000001</v>
      </c>
      <c r="K648" s="4"/>
      <c r="L648" s="9">
        <v>29.520499999999998</v>
      </c>
      <c r="M648" s="9">
        <v>12.063700000000001</v>
      </c>
      <c r="N648" s="9">
        <v>4.9444999999999997</v>
      </c>
      <c r="O648" s="9">
        <v>0.37459999999999999</v>
      </c>
      <c r="P648" s="9">
        <v>1.2192000000000001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CONTROL!$C$32, 17.1705, 17.1652) * CHOOSE(CONTROL!$C$15, $D$11, 100%, $F$11)</f>
        <v>17.170500000000001</v>
      </c>
      <c r="C649" s="8">
        <f>CHOOSE( CONTROL!$C$32, 17.1809, 17.1757) * CHOOSE(CONTROL!$C$15, $D$11, 100%, $F$11)</f>
        <v>17.180900000000001</v>
      </c>
      <c r="D649" s="8">
        <f>CHOOSE( CONTROL!$C$32, 17.192, 17.1867) * CHOOSE( CONTROL!$C$15, $D$11, 100%, $F$11)</f>
        <v>17.192</v>
      </c>
      <c r="E649" s="12">
        <f>CHOOSE( CONTROL!$C$32, 17.1864, 17.1811) * CHOOSE( CONTROL!$C$15, $D$11, 100%, $F$11)</f>
        <v>17.186399999999999</v>
      </c>
      <c r="F649" s="4">
        <f>CHOOSE( CONTROL!$C$32, 18.2059, 18.2007) * CHOOSE(CONTROL!$C$15, $D$11, 100%, $F$11)</f>
        <v>18.2059</v>
      </c>
      <c r="G649" s="8">
        <f>CHOOSE( CONTROL!$C$32, 16.7302, 16.7251) * CHOOSE( CONTROL!$C$15, $D$11, 100%, $F$11)</f>
        <v>16.7302</v>
      </c>
      <c r="H649" s="4">
        <f>CHOOSE( CONTROL!$C$32, 17.6704, 17.6652) * CHOOSE(CONTROL!$C$15, $D$11, 100%, $F$11)</f>
        <v>17.670400000000001</v>
      </c>
      <c r="I649" s="8">
        <f>CHOOSE( CONTROL!$C$32, 16.5207, 16.5156) * CHOOSE(CONTROL!$C$15, $D$11, 100%, $F$11)</f>
        <v>16.520700000000001</v>
      </c>
      <c r="J649" s="4">
        <f>CHOOSE( CONTROL!$C$32, 16.448, 16.443) * CHOOSE(CONTROL!$C$15, $D$11, 100%, $F$11)</f>
        <v>16.448</v>
      </c>
      <c r="K649" s="4"/>
      <c r="L649" s="9">
        <v>28.568200000000001</v>
      </c>
      <c r="M649" s="9">
        <v>11.6745</v>
      </c>
      <c r="N649" s="9">
        <v>4.7850000000000001</v>
      </c>
      <c r="O649" s="9">
        <v>0.36249999999999999</v>
      </c>
      <c r="P649" s="9">
        <v>1.1798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17.9275 * CHOOSE(CONTROL!$C$15, $D$11, 100%, $F$11)</f>
        <v>17.927499999999998</v>
      </c>
      <c r="C650" s="8">
        <f>17.938 * CHOOSE(CONTROL!$C$15, $D$11, 100%, $F$11)</f>
        <v>17.937999999999999</v>
      </c>
      <c r="D650" s="8">
        <f>17.9504 * CHOOSE( CONTROL!$C$15, $D$11, 100%, $F$11)</f>
        <v>17.950399999999998</v>
      </c>
      <c r="E650" s="12">
        <f>17.9452 * CHOOSE( CONTROL!$C$15, $D$11, 100%, $F$11)</f>
        <v>17.9452</v>
      </c>
      <c r="F650" s="4">
        <f>18.963 * CHOOSE(CONTROL!$C$15, $D$11, 100%, $F$11)</f>
        <v>18.963000000000001</v>
      </c>
      <c r="G650" s="8">
        <f>17.4675 * CHOOSE( CONTROL!$C$15, $D$11, 100%, $F$11)</f>
        <v>17.467500000000001</v>
      </c>
      <c r="H650" s="4">
        <f>18.4083 * CHOOSE(CONTROL!$C$15, $D$11, 100%, $F$11)</f>
        <v>18.408300000000001</v>
      </c>
      <c r="I650" s="8">
        <f>17.2479 * CHOOSE(CONTROL!$C$15, $D$11, 100%, $F$11)</f>
        <v>17.247900000000001</v>
      </c>
      <c r="J650" s="4">
        <f>17.1734 * CHOOSE(CONTROL!$C$15, $D$11, 100%, $F$11)</f>
        <v>17.173400000000001</v>
      </c>
      <c r="K650" s="4"/>
      <c r="L650" s="9">
        <v>28.921800000000001</v>
      </c>
      <c r="M650" s="9">
        <v>12.063700000000001</v>
      </c>
      <c r="N650" s="9">
        <v>4.9444999999999997</v>
      </c>
      <c r="O650" s="9">
        <v>0.37459999999999999</v>
      </c>
      <c r="P650" s="9">
        <v>1.2192000000000001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19.3346 * CHOOSE(CONTROL!$C$15, $D$11, 100%, $F$11)</f>
        <v>19.334599999999998</v>
      </c>
      <c r="C651" s="8">
        <f>19.3451 * CHOOSE(CONTROL!$C$15, $D$11, 100%, $F$11)</f>
        <v>19.345099999999999</v>
      </c>
      <c r="D651" s="8">
        <f>19.3288 * CHOOSE( CONTROL!$C$15, $D$11, 100%, $F$11)</f>
        <v>19.328800000000001</v>
      </c>
      <c r="E651" s="12">
        <f>19.3336 * CHOOSE( CONTROL!$C$15, $D$11, 100%, $F$11)</f>
        <v>19.333600000000001</v>
      </c>
      <c r="F651" s="4">
        <f>20.3288 * CHOOSE(CONTROL!$C$15, $D$11, 100%, $F$11)</f>
        <v>20.328800000000001</v>
      </c>
      <c r="G651" s="8">
        <f>18.8601 * CHOOSE( CONTROL!$C$15, $D$11, 100%, $F$11)</f>
        <v>18.860099999999999</v>
      </c>
      <c r="H651" s="4">
        <f>19.7397 * CHOOSE(CONTROL!$C$15, $D$11, 100%, $F$11)</f>
        <v>19.739699999999999</v>
      </c>
      <c r="I651" s="8">
        <f>18.6337 * CHOOSE(CONTROL!$C$15, $D$11, 100%, $F$11)</f>
        <v>18.633700000000001</v>
      </c>
      <c r="J651" s="4">
        <f>18.5217 * CHOOSE(CONTROL!$C$15, $D$11, 100%, $F$11)</f>
        <v>18.521699999999999</v>
      </c>
      <c r="K651" s="4"/>
      <c r="L651" s="9">
        <v>26.515499999999999</v>
      </c>
      <c r="M651" s="9">
        <v>11.6745</v>
      </c>
      <c r="N651" s="9">
        <v>4.7850000000000001</v>
      </c>
      <c r="O651" s="9">
        <v>0.36249999999999999</v>
      </c>
      <c r="P651" s="9">
        <v>1.2522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19.2995 * CHOOSE(CONTROL!$C$15, $D$11, 100%, $F$11)</f>
        <v>19.299499999999998</v>
      </c>
      <c r="C652" s="8">
        <f>19.3099 * CHOOSE(CONTROL!$C$15, $D$11, 100%, $F$11)</f>
        <v>19.309899999999999</v>
      </c>
      <c r="D652" s="8">
        <f>19.296 * CHOOSE( CONTROL!$C$15, $D$11, 100%, $F$11)</f>
        <v>19.295999999999999</v>
      </c>
      <c r="E652" s="12">
        <f>19.3 * CHOOSE( CONTROL!$C$15, $D$11, 100%, $F$11)</f>
        <v>19.3</v>
      </c>
      <c r="F652" s="4">
        <f>20.2937 * CHOOSE(CONTROL!$C$15, $D$11, 100%, $F$11)</f>
        <v>20.293700000000001</v>
      </c>
      <c r="G652" s="8">
        <f>18.8276 * CHOOSE( CONTROL!$C$15, $D$11, 100%, $F$11)</f>
        <v>18.8276</v>
      </c>
      <c r="H652" s="4">
        <f>19.7055 * CHOOSE(CONTROL!$C$15, $D$11, 100%, $F$11)</f>
        <v>19.705500000000001</v>
      </c>
      <c r="I652" s="8">
        <f>18.6075 * CHOOSE(CONTROL!$C$15, $D$11, 100%, $F$11)</f>
        <v>18.607500000000002</v>
      </c>
      <c r="J652" s="4">
        <f>18.488 * CHOOSE(CONTROL!$C$15, $D$11, 100%, $F$11)</f>
        <v>18.488</v>
      </c>
      <c r="K652" s="4"/>
      <c r="L652" s="9">
        <v>27.3993</v>
      </c>
      <c r="M652" s="9">
        <v>12.063700000000001</v>
      </c>
      <c r="N652" s="9">
        <v>4.9444999999999997</v>
      </c>
      <c r="O652" s="9">
        <v>0.37459999999999999</v>
      </c>
      <c r="P652" s="9">
        <v>1.2939000000000001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20.0369 * CHOOSE(CONTROL!$C$15, $D$11, 100%, $F$11)</f>
        <v>20.036899999999999</v>
      </c>
      <c r="C653" s="8">
        <f>20.0473 * CHOOSE(CONTROL!$C$15, $D$11, 100%, $F$11)</f>
        <v>20.0473</v>
      </c>
      <c r="D653" s="8">
        <f>20.0467 * CHOOSE( CONTROL!$C$15, $D$11, 100%, $F$11)</f>
        <v>20.046700000000001</v>
      </c>
      <c r="E653" s="12">
        <f>20.0458 * CHOOSE( CONTROL!$C$15, $D$11, 100%, $F$11)</f>
        <v>20.0458</v>
      </c>
      <c r="F653" s="4">
        <f>21.0598 * CHOOSE(CONTROL!$C$15, $D$11, 100%, $F$11)</f>
        <v>21.059799999999999</v>
      </c>
      <c r="G653" s="8">
        <f>19.5599 * CHOOSE( CONTROL!$C$15, $D$11, 100%, $F$11)</f>
        <v>19.559899999999999</v>
      </c>
      <c r="H653" s="4">
        <f>20.4522 * CHOOSE(CONTROL!$C$15, $D$11, 100%, $F$11)</f>
        <v>20.452200000000001</v>
      </c>
      <c r="I653" s="8">
        <f>19.3128 * CHOOSE(CONTROL!$C$15, $D$11, 100%, $F$11)</f>
        <v>19.312799999999999</v>
      </c>
      <c r="J653" s="4">
        <f>19.1946 * CHOOSE(CONTROL!$C$15, $D$11, 100%, $F$11)</f>
        <v>19.194600000000001</v>
      </c>
      <c r="K653" s="4"/>
      <c r="L653" s="9">
        <v>27.3993</v>
      </c>
      <c r="M653" s="9">
        <v>12.063700000000001</v>
      </c>
      <c r="N653" s="9">
        <v>4.9444999999999997</v>
      </c>
      <c r="O653" s="9">
        <v>0.37459999999999999</v>
      </c>
      <c r="P653" s="9">
        <v>1.2939000000000001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18.7419 * CHOOSE(CONTROL!$C$15, $D$11, 100%, $F$11)</f>
        <v>18.741900000000001</v>
      </c>
      <c r="C654" s="8">
        <f>18.7523 * CHOOSE(CONTROL!$C$15, $D$11, 100%, $F$11)</f>
        <v>18.752300000000002</v>
      </c>
      <c r="D654" s="8">
        <f>18.7538 * CHOOSE( CONTROL!$C$15, $D$11, 100%, $F$11)</f>
        <v>18.753799999999998</v>
      </c>
      <c r="E654" s="12">
        <f>18.7521 * CHOOSE( CONTROL!$C$15, $D$11, 100%, $F$11)</f>
        <v>18.752099999999999</v>
      </c>
      <c r="F654" s="4">
        <f>19.7569 * CHOOSE(CONTROL!$C$15, $D$11, 100%, $F$11)</f>
        <v>19.756900000000002</v>
      </c>
      <c r="G654" s="8">
        <f>18.2974 * CHOOSE( CONTROL!$C$15, $D$11, 100%, $F$11)</f>
        <v>18.2974</v>
      </c>
      <c r="H654" s="4">
        <f>19.1823 * CHOOSE(CONTROL!$C$15, $D$11, 100%, $F$11)</f>
        <v>19.182300000000001</v>
      </c>
      <c r="I654" s="8">
        <f>18.0603 * CHOOSE(CONTROL!$C$15, $D$11, 100%, $F$11)</f>
        <v>18.060300000000002</v>
      </c>
      <c r="J654" s="4">
        <f>17.9537 * CHOOSE(CONTROL!$C$15, $D$11, 100%, $F$11)</f>
        <v>17.953700000000001</v>
      </c>
      <c r="K654" s="4"/>
      <c r="L654" s="9">
        <v>24.747800000000002</v>
      </c>
      <c r="M654" s="9">
        <v>10.8962</v>
      </c>
      <c r="N654" s="9">
        <v>4.4660000000000002</v>
      </c>
      <c r="O654" s="9">
        <v>0.33829999999999999</v>
      </c>
      <c r="P654" s="9">
        <v>1.1687000000000001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18.343 * CHOOSE(CONTROL!$C$15, $D$11, 100%, $F$11)</f>
        <v>18.343</v>
      </c>
      <c r="C655" s="8">
        <f>18.3534 * CHOOSE(CONTROL!$C$15, $D$11, 100%, $F$11)</f>
        <v>18.353400000000001</v>
      </c>
      <c r="D655" s="8">
        <f>18.3345 * CHOOSE( CONTROL!$C$15, $D$11, 100%, $F$11)</f>
        <v>18.334499999999998</v>
      </c>
      <c r="E655" s="12">
        <f>18.3403 * CHOOSE( CONTROL!$C$15, $D$11, 100%, $F$11)</f>
        <v>18.340299999999999</v>
      </c>
      <c r="F655" s="4">
        <f>19.3419 * CHOOSE(CONTROL!$C$15, $D$11, 100%, $F$11)</f>
        <v>19.341899999999999</v>
      </c>
      <c r="G655" s="8">
        <f>17.8878 * CHOOSE( CONTROL!$C$15, $D$11, 100%, $F$11)</f>
        <v>17.887799999999999</v>
      </c>
      <c r="H655" s="4">
        <f>18.7777 * CHOOSE(CONTROL!$C$15, $D$11, 100%, $F$11)</f>
        <v>18.777699999999999</v>
      </c>
      <c r="I655" s="8">
        <f>17.6384 * CHOOSE(CONTROL!$C$15, $D$11, 100%, $F$11)</f>
        <v>17.638400000000001</v>
      </c>
      <c r="J655" s="4">
        <f>17.5715 * CHOOSE(CONTROL!$C$15, $D$11, 100%, $F$11)</f>
        <v>17.5715</v>
      </c>
      <c r="K655" s="4"/>
      <c r="L655" s="9">
        <v>27.3993</v>
      </c>
      <c r="M655" s="9">
        <v>12.063700000000001</v>
      </c>
      <c r="N655" s="9">
        <v>4.9444999999999997</v>
      </c>
      <c r="O655" s="9">
        <v>0.37459999999999999</v>
      </c>
      <c r="P655" s="9">
        <v>1.2939000000000001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18.6217 * CHOOSE(CONTROL!$C$15, $D$11, 100%, $F$11)</f>
        <v>18.621700000000001</v>
      </c>
      <c r="C656" s="8">
        <f>18.6322 * CHOOSE(CONTROL!$C$15, $D$11, 100%, $F$11)</f>
        <v>18.632200000000001</v>
      </c>
      <c r="D656" s="8">
        <f>18.6362 * CHOOSE( CONTROL!$C$15, $D$11, 100%, $F$11)</f>
        <v>18.636199999999999</v>
      </c>
      <c r="E656" s="12">
        <f>18.6337 * CHOOSE( CONTROL!$C$15, $D$11, 100%, $F$11)</f>
        <v>18.633700000000001</v>
      </c>
      <c r="F656" s="4">
        <f>19.629 * CHOOSE(CONTROL!$C$15, $D$11, 100%, $F$11)</f>
        <v>19.629000000000001</v>
      </c>
      <c r="G656" s="8">
        <f>18.1479 * CHOOSE( CONTROL!$C$15, $D$11, 100%, $F$11)</f>
        <v>18.1479</v>
      </c>
      <c r="H656" s="4">
        <f>19.0575 * CHOOSE(CONTROL!$C$15, $D$11, 100%, $F$11)</f>
        <v>19.057500000000001</v>
      </c>
      <c r="I656" s="8">
        <f>17.8957 * CHOOSE(CONTROL!$C$15, $D$11, 100%, $F$11)</f>
        <v>17.895700000000001</v>
      </c>
      <c r="J656" s="4">
        <f>17.8386 * CHOOSE(CONTROL!$C$15, $D$11, 100%, $F$11)</f>
        <v>17.8386</v>
      </c>
      <c r="K656" s="4"/>
      <c r="L656" s="9">
        <v>27.988800000000001</v>
      </c>
      <c r="M656" s="9">
        <v>11.6745</v>
      </c>
      <c r="N656" s="9">
        <v>4.7850000000000001</v>
      </c>
      <c r="O656" s="9">
        <v>0.36249999999999999</v>
      </c>
      <c r="P656" s="9">
        <v>1.1798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CONTROL!$C$32, 19.123, 19.1178) * CHOOSE(CONTROL!$C$15, $D$11, 100%, $F$11)</f>
        <v>19.123000000000001</v>
      </c>
      <c r="C657" s="8">
        <f>CHOOSE( CONTROL!$C$32, 19.1335, 19.1282) * CHOOSE(CONTROL!$C$15, $D$11, 100%, $F$11)</f>
        <v>19.133500000000002</v>
      </c>
      <c r="D657" s="8">
        <f>CHOOSE( CONTROL!$C$32, 19.1463, 19.141) * CHOOSE( CONTROL!$C$15, $D$11, 100%, $F$11)</f>
        <v>19.1463</v>
      </c>
      <c r="E657" s="12">
        <f>CHOOSE( CONTROL!$C$32, 19.1401, 19.1348) * CHOOSE( CONTROL!$C$15, $D$11, 100%, $F$11)</f>
        <v>19.1401</v>
      </c>
      <c r="F657" s="4">
        <f>CHOOSE( CONTROL!$C$32, 20.1459, 20.1407) * CHOOSE(CONTROL!$C$15, $D$11, 100%, $F$11)</f>
        <v>20.145900000000001</v>
      </c>
      <c r="G657" s="8">
        <f>CHOOSE( CONTROL!$C$32, 18.6422, 18.637) * CHOOSE( CONTROL!$C$15, $D$11, 100%, $F$11)</f>
        <v>18.642199999999999</v>
      </c>
      <c r="H657" s="4">
        <f>CHOOSE( CONTROL!$C$32, 19.5614, 19.5563) * CHOOSE(CONTROL!$C$15, $D$11, 100%, $F$11)</f>
        <v>19.561399999999999</v>
      </c>
      <c r="I657" s="8">
        <f>CHOOSE( CONTROL!$C$32, 18.3816, 18.3766) * CHOOSE(CONTROL!$C$15, $D$11, 100%, $F$11)</f>
        <v>18.381599999999999</v>
      </c>
      <c r="J657" s="4">
        <f>CHOOSE( CONTROL!$C$32, 18.3189, 18.3139) * CHOOSE(CONTROL!$C$15, $D$11, 100%, $F$11)</f>
        <v>18.318899999999999</v>
      </c>
      <c r="K657" s="4"/>
      <c r="L657" s="9">
        <v>29.520499999999998</v>
      </c>
      <c r="M657" s="9">
        <v>12.063700000000001</v>
      </c>
      <c r="N657" s="9">
        <v>4.9444999999999997</v>
      </c>
      <c r="O657" s="9">
        <v>0.37459999999999999</v>
      </c>
      <c r="P657" s="9">
        <v>1.2192000000000001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CONTROL!$C$32, 18.8157, 18.8105) * CHOOSE(CONTROL!$C$15, $D$11, 100%, $F$11)</f>
        <v>18.8157</v>
      </c>
      <c r="C658" s="8">
        <f>CHOOSE( CONTROL!$C$32, 18.8262, 18.8209) * CHOOSE(CONTROL!$C$15, $D$11, 100%, $F$11)</f>
        <v>18.8262</v>
      </c>
      <c r="D658" s="8">
        <f>CHOOSE( CONTROL!$C$32, 18.8466, 18.8414) * CHOOSE( CONTROL!$C$15, $D$11, 100%, $F$11)</f>
        <v>18.846599999999999</v>
      </c>
      <c r="E658" s="12">
        <f>CHOOSE( CONTROL!$C$32, 18.8376, 18.8324) * CHOOSE( CONTROL!$C$15, $D$11, 100%, $F$11)</f>
        <v>18.837599999999998</v>
      </c>
      <c r="F658" s="4">
        <f>CHOOSE( CONTROL!$C$32, 19.8512, 19.8459) * CHOOSE(CONTROL!$C$15, $D$11, 100%, $F$11)</f>
        <v>19.851199999999999</v>
      </c>
      <c r="G658" s="8">
        <f>CHOOSE( CONTROL!$C$32, 18.3465, 18.3414) * CHOOSE( CONTROL!$C$15, $D$11, 100%, $F$11)</f>
        <v>18.346499999999999</v>
      </c>
      <c r="H658" s="4">
        <f>CHOOSE( CONTROL!$C$32, 19.2741, 19.269) * CHOOSE(CONTROL!$C$15, $D$11, 100%, $F$11)</f>
        <v>19.274100000000001</v>
      </c>
      <c r="I658" s="8">
        <f>CHOOSE( CONTROL!$C$32, 18.0923, 18.0872) * CHOOSE(CONTROL!$C$15, $D$11, 100%, $F$11)</f>
        <v>18.092300000000002</v>
      </c>
      <c r="J658" s="4">
        <f>CHOOSE( CONTROL!$C$32, 18.0245, 18.0194) * CHOOSE(CONTROL!$C$15, $D$11, 100%, $F$11)</f>
        <v>18.0245</v>
      </c>
      <c r="K658" s="4"/>
      <c r="L658" s="9">
        <v>28.568200000000001</v>
      </c>
      <c r="M658" s="9">
        <v>11.6745</v>
      </c>
      <c r="N658" s="9">
        <v>4.7850000000000001</v>
      </c>
      <c r="O658" s="9">
        <v>0.36249999999999999</v>
      </c>
      <c r="P658" s="9">
        <v>1.1798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CONTROL!$C$32, 19.6249, 19.6197) * CHOOSE(CONTROL!$C$15, $D$11, 100%, $F$11)</f>
        <v>19.6249</v>
      </c>
      <c r="C659" s="8">
        <f>CHOOSE( CONTROL!$C$32, 19.6354, 19.6301) * CHOOSE(CONTROL!$C$15, $D$11, 100%, $F$11)</f>
        <v>19.635400000000001</v>
      </c>
      <c r="D659" s="8">
        <f>CHOOSE( CONTROL!$C$32, 19.646, 19.6407) * CHOOSE( CONTROL!$C$15, $D$11, 100%, $F$11)</f>
        <v>19.646000000000001</v>
      </c>
      <c r="E659" s="12">
        <f>CHOOSE( CONTROL!$C$32, 19.6406, 19.6353) * CHOOSE( CONTROL!$C$15, $D$11, 100%, $F$11)</f>
        <v>19.640599999999999</v>
      </c>
      <c r="F659" s="4">
        <f>CHOOSE( CONTROL!$C$32, 20.6604, 20.6551) * CHOOSE(CONTROL!$C$15, $D$11, 100%, $F$11)</f>
        <v>20.660399999999999</v>
      </c>
      <c r="G659" s="8">
        <f>CHOOSE( CONTROL!$C$32, 19.122, 19.1169) * CHOOSE( CONTROL!$C$15, $D$11, 100%, $F$11)</f>
        <v>19.122</v>
      </c>
      <c r="H659" s="4">
        <f>CHOOSE( CONTROL!$C$32, 20.0629, 20.0578) * CHOOSE(CONTROL!$C$15, $D$11, 100%, $F$11)</f>
        <v>20.062899999999999</v>
      </c>
      <c r="I659" s="8">
        <f>CHOOSE( CONTROL!$C$32, 18.8714, 18.8664) * CHOOSE(CONTROL!$C$15, $D$11, 100%, $F$11)</f>
        <v>18.871400000000001</v>
      </c>
      <c r="J659" s="4">
        <f>CHOOSE( CONTROL!$C$32, 18.7999, 18.7948) * CHOOSE(CONTROL!$C$15, $D$11, 100%, $F$11)</f>
        <v>18.799900000000001</v>
      </c>
      <c r="K659" s="4"/>
      <c r="L659" s="9">
        <v>29.520499999999998</v>
      </c>
      <c r="M659" s="9">
        <v>12.063700000000001</v>
      </c>
      <c r="N659" s="9">
        <v>4.9444999999999997</v>
      </c>
      <c r="O659" s="9">
        <v>0.37459999999999999</v>
      </c>
      <c r="P659" s="9">
        <v>1.2192000000000001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CONTROL!$C$32, 18.1108, 18.1056) * CHOOSE(CONTROL!$C$15, $D$11, 100%, $F$11)</f>
        <v>18.110800000000001</v>
      </c>
      <c r="C660" s="8">
        <f>CHOOSE( CONTROL!$C$32, 18.1213, 18.116) * CHOOSE(CONTROL!$C$15, $D$11, 100%, $F$11)</f>
        <v>18.121300000000002</v>
      </c>
      <c r="D660" s="8">
        <f>CHOOSE( CONTROL!$C$32, 18.1322, 18.127) * CHOOSE( CONTROL!$C$15, $D$11, 100%, $F$11)</f>
        <v>18.132200000000001</v>
      </c>
      <c r="E660" s="12">
        <f>CHOOSE( CONTROL!$C$32, 18.1266, 18.1214) * CHOOSE( CONTROL!$C$15, $D$11, 100%, $F$11)</f>
        <v>18.1266</v>
      </c>
      <c r="F660" s="4">
        <f>CHOOSE( CONTROL!$C$32, 19.1463, 19.141) * CHOOSE(CONTROL!$C$15, $D$11, 100%, $F$11)</f>
        <v>19.1463</v>
      </c>
      <c r="G660" s="8">
        <f>CHOOSE( CONTROL!$C$32, 17.6466, 17.6415) * CHOOSE( CONTROL!$C$15, $D$11, 100%, $F$11)</f>
        <v>17.646599999999999</v>
      </c>
      <c r="H660" s="4">
        <f>CHOOSE( CONTROL!$C$32, 18.587, 18.5819) * CHOOSE(CONTROL!$C$15, $D$11, 100%, $F$11)</f>
        <v>18.587</v>
      </c>
      <c r="I660" s="8">
        <f>CHOOSE( CONTROL!$C$32, 17.4215, 17.4165) * CHOOSE(CONTROL!$C$15, $D$11, 100%, $F$11)</f>
        <v>17.421500000000002</v>
      </c>
      <c r="J660" s="4">
        <f>CHOOSE( CONTROL!$C$32, 17.349, 17.344) * CHOOSE(CONTROL!$C$15, $D$11, 100%, $F$11)</f>
        <v>17.349</v>
      </c>
      <c r="K660" s="4"/>
      <c r="L660" s="9">
        <v>29.520499999999998</v>
      </c>
      <c r="M660" s="9">
        <v>12.063700000000001</v>
      </c>
      <c r="N660" s="9">
        <v>4.9444999999999997</v>
      </c>
      <c r="O660" s="9">
        <v>0.37459999999999999</v>
      </c>
      <c r="P660" s="9">
        <v>1.2192000000000001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CONTROL!$C$32, 17.7317, 17.7264) * CHOOSE(CONTROL!$C$15, $D$11, 100%, $F$11)</f>
        <v>17.7317</v>
      </c>
      <c r="C661" s="8">
        <f>CHOOSE( CONTROL!$C$32, 17.7421, 17.7369) * CHOOSE(CONTROL!$C$15, $D$11, 100%, $F$11)</f>
        <v>17.742100000000001</v>
      </c>
      <c r="D661" s="8">
        <f>CHOOSE( CONTROL!$C$32, 17.7532, 17.7479) * CHOOSE( CONTROL!$C$15, $D$11, 100%, $F$11)</f>
        <v>17.7532</v>
      </c>
      <c r="E661" s="12">
        <f>CHOOSE( CONTROL!$C$32, 17.7476, 17.7423) * CHOOSE( CONTROL!$C$15, $D$11, 100%, $F$11)</f>
        <v>17.747599999999998</v>
      </c>
      <c r="F661" s="4">
        <f>CHOOSE( CONTROL!$C$32, 18.7671, 18.7619) * CHOOSE(CONTROL!$C$15, $D$11, 100%, $F$11)</f>
        <v>18.767099999999999</v>
      </c>
      <c r="G661" s="8">
        <f>CHOOSE( CONTROL!$C$32, 17.2772, 17.2721) * CHOOSE( CONTROL!$C$15, $D$11, 100%, $F$11)</f>
        <v>17.277200000000001</v>
      </c>
      <c r="H661" s="4">
        <f>CHOOSE( CONTROL!$C$32, 18.2174, 18.2123) * CHOOSE(CONTROL!$C$15, $D$11, 100%, $F$11)</f>
        <v>18.217400000000001</v>
      </c>
      <c r="I661" s="8">
        <f>CHOOSE( CONTROL!$C$32, 17.0587, 17.0537) * CHOOSE(CONTROL!$C$15, $D$11, 100%, $F$11)</f>
        <v>17.058700000000002</v>
      </c>
      <c r="J661" s="4">
        <f>CHOOSE( CONTROL!$C$32, 16.9857, 16.9807) * CHOOSE(CONTROL!$C$15, $D$11, 100%, $F$11)</f>
        <v>16.985700000000001</v>
      </c>
      <c r="K661" s="4"/>
      <c r="L661" s="9">
        <v>28.568200000000001</v>
      </c>
      <c r="M661" s="9">
        <v>11.6745</v>
      </c>
      <c r="N661" s="9">
        <v>4.7850000000000001</v>
      </c>
      <c r="O661" s="9">
        <v>0.36249999999999999</v>
      </c>
      <c r="P661" s="9">
        <v>1.1798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18.5137 * CHOOSE(CONTROL!$C$15, $D$11, 100%, $F$11)</f>
        <v>18.5137</v>
      </c>
      <c r="C662" s="8">
        <f>18.5241 * CHOOSE(CONTROL!$C$15, $D$11, 100%, $F$11)</f>
        <v>18.524100000000001</v>
      </c>
      <c r="D662" s="8">
        <f>18.5365 * CHOOSE( CONTROL!$C$15, $D$11, 100%, $F$11)</f>
        <v>18.5365</v>
      </c>
      <c r="E662" s="12">
        <f>18.5313 * CHOOSE( CONTROL!$C$15, $D$11, 100%, $F$11)</f>
        <v>18.531300000000002</v>
      </c>
      <c r="F662" s="4">
        <f>19.5491 * CHOOSE(CONTROL!$C$15, $D$11, 100%, $F$11)</f>
        <v>19.549099999999999</v>
      </c>
      <c r="G662" s="8">
        <f>18.0389 * CHOOSE( CONTROL!$C$15, $D$11, 100%, $F$11)</f>
        <v>18.038900000000002</v>
      </c>
      <c r="H662" s="4">
        <f>18.9797 * CHOOSE(CONTROL!$C$15, $D$11, 100%, $F$11)</f>
        <v>18.979700000000001</v>
      </c>
      <c r="I662" s="8">
        <f>17.8098 * CHOOSE(CONTROL!$C$15, $D$11, 100%, $F$11)</f>
        <v>17.809799999999999</v>
      </c>
      <c r="J662" s="4">
        <f>17.735 * CHOOSE(CONTROL!$C$15, $D$11, 100%, $F$11)</f>
        <v>17.734999999999999</v>
      </c>
      <c r="K662" s="4"/>
      <c r="L662" s="9">
        <v>28.921800000000001</v>
      </c>
      <c r="M662" s="9">
        <v>12.063700000000001</v>
      </c>
      <c r="N662" s="9">
        <v>4.9444999999999997</v>
      </c>
      <c r="O662" s="9">
        <v>0.37459999999999999</v>
      </c>
      <c r="P662" s="9">
        <v>1.2192000000000001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19.9668 * CHOOSE(CONTROL!$C$15, $D$11, 100%, $F$11)</f>
        <v>19.966799999999999</v>
      </c>
      <c r="C663" s="8">
        <f>19.9772 * CHOOSE(CONTROL!$C$15, $D$11, 100%, $F$11)</f>
        <v>19.9772</v>
      </c>
      <c r="D663" s="8">
        <f>19.961 * CHOOSE( CONTROL!$C$15, $D$11, 100%, $F$11)</f>
        <v>19.960999999999999</v>
      </c>
      <c r="E663" s="12">
        <f>19.9658 * CHOOSE( CONTROL!$C$15, $D$11, 100%, $F$11)</f>
        <v>19.965800000000002</v>
      </c>
      <c r="F663" s="4">
        <f>20.961 * CHOOSE(CONTROL!$C$15, $D$11, 100%, $F$11)</f>
        <v>20.960999999999999</v>
      </c>
      <c r="G663" s="8">
        <f>19.4763 * CHOOSE( CONTROL!$C$15, $D$11, 100%, $F$11)</f>
        <v>19.476299999999998</v>
      </c>
      <c r="H663" s="4">
        <f>20.3559 * CHOOSE(CONTROL!$C$15, $D$11, 100%, $F$11)</f>
        <v>20.355899999999998</v>
      </c>
      <c r="I663" s="8">
        <f>19.2397 * CHOOSE(CONTROL!$C$15, $D$11, 100%, $F$11)</f>
        <v>19.239699999999999</v>
      </c>
      <c r="J663" s="4">
        <f>19.1274 * CHOOSE(CONTROL!$C$15, $D$11, 100%, $F$11)</f>
        <v>19.127400000000002</v>
      </c>
      <c r="K663" s="4"/>
      <c r="L663" s="9">
        <v>26.515499999999999</v>
      </c>
      <c r="M663" s="9">
        <v>11.6745</v>
      </c>
      <c r="N663" s="9">
        <v>4.7850000000000001</v>
      </c>
      <c r="O663" s="9">
        <v>0.36249999999999999</v>
      </c>
      <c r="P663" s="9">
        <v>1.2522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19.9305 * CHOOSE(CONTROL!$C$15, $D$11, 100%, $F$11)</f>
        <v>19.930499999999999</v>
      </c>
      <c r="C664" s="8">
        <f>19.9409 * CHOOSE(CONTROL!$C$15, $D$11, 100%, $F$11)</f>
        <v>19.940899999999999</v>
      </c>
      <c r="D664" s="8">
        <f>19.927 * CHOOSE( CONTROL!$C$15, $D$11, 100%, $F$11)</f>
        <v>19.927</v>
      </c>
      <c r="E664" s="12">
        <f>19.931 * CHOOSE( CONTROL!$C$15, $D$11, 100%, $F$11)</f>
        <v>19.931000000000001</v>
      </c>
      <c r="F664" s="4">
        <f>20.9247 * CHOOSE(CONTROL!$C$15, $D$11, 100%, $F$11)</f>
        <v>20.924700000000001</v>
      </c>
      <c r="G664" s="8">
        <f>19.4426 * CHOOSE( CONTROL!$C$15, $D$11, 100%, $F$11)</f>
        <v>19.442599999999999</v>
      </c>
      <c r="H664" s="4">
        <f>20.3205 * CHOOSE(CONTROL!$C$15, $D$11, 100%, $F$11)</f>
        <v>20.320499999999999</v>
      </c>
      <c r="I664" s="8">
        <f>19.2125 * CHOOSE(CONTROL!$C$15, $D$11, 100%, $F$11)</f>
        <v>19.212499999999999</v>
      </c>
      <c r="J664" s="4">
        <f>19.0926 * CHOOSE(CONTROL!$C$15, $D$11, 100%, $F$11)</f>
        <v>19.092600000000001</v>
      </c>
      <c r="K664" s="4"/>
      <c r="L664" s="9">
        <v>27.3993</v>
      </c>
      <c r="M664" s="9">
        <v>12.063700000000001</v>
      </c>
      <c r="N664" s="9">
        <v>4.9444999999999997</v>
      </c>
      <c r="O664" s="9">
        <v>0.37459999999999999</v>
      </c>
      <c r="P664" s="9">
        <v>1.2939000000000001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20.692 * CHOOSE(CONTROL!$C$15, $D$11, 100%, $F$11)</f>
        <v>20.692</v>
      </c>
      <c r="C665" s="8">
        <f>20.7025 * CHOOSE(CONTROL!$C$15, $D$11, 100%, $F$11)</f>
        <v>20.702500000000001</v>
      </c>
      <c r="D665" s="8">
        <f>20.7018 * CHOOSE( CONTROL!$C$15, $D$11, 100%, $F$11)</f>
        <v>20.701799999999999</v>
      </c>
      <c r="E665" s="12">
        <f>20.7009 * CHOOSE( CONTROL!$C$15, $D$11, 100%, $F$11)</f>
        <v>20.700900000000001</v>
      </c>
      <c r="F665" s="4">
        <f>21.7149 * CHOOSE(CONTROL!$C$15, $D$11, 100%, $F$11)</f>
        <v>21.7149</v>
      </c>
      <c r="G665" s="8">
        <f>20.1985 * CHOOSE( CONTROL!$C$15, $D$11, 100%, $F$11)</f>
        <v>20.198499999999999</v>
      </c>
      <c r="H665" s="4">
        <f>21.0908 * CHOOSE(CONTROL!$C$15, $D$11, 100%, $F$11)</f>
        <v>21.090800000000002</v>
      </c>
      <c r="I665" s="8">
        <f>19.9408 * CHOOSE(CONTROL!$C$15, $D$11, 100%, $F$11)</f>
        <v>19.940799999999999</v>
      </c>
      <c r="J665" s="4">
        <f>19.8223 * CHOOSE(CONTROL!$C$15, $D$11, 100%, $F$11)</f>
        <v>19.822299999999998</v>
      </c>
      <c r="K665" s="4"/>
      <c r="L665" s="9">
        <v>27.3993</v>
      </c>
      <c r="M665" s="9">
        <v>12.063700000000001</v>
      </c>
      <c r="N665" s="9">
        <v>4.9444999999999997</v>
      </c>
      <c r="O665" s="9">
        <v>0.37459999999999999</v>
      </c>
      <c r="P665" s="9">
        <v>1.2939000000000001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19.3546 * CHOOSE(CONTROL!$C$15, $D$11, 100%, $F$11)</f>
        <v>19.354600000000001</v>
      </c>
      <c r="C666" s="8">
        <f>19.3651 * CHOOSE(CONTROL!$C$15, $D$11, 100%, $F$11)</f>
        <v>19.365100000000002</v>
      </c>
      <c r="D666" s="8">
        <f>19.3666 * CHOOSE( CONTROL!$C$15, $D$11, 100%, $F$11)</f>
        <v>19.366599999999998</v>
      </c>
      <c r="E666" s="12">
        <f>19.3649 * CHOOSE( CONTROL!$C$15, $D$11, 100%, $F$11)</f>
        <v>19.364899999999999</v>
      </c>
      <c r="F666" s="4">
        <f>20.3697 * CHOOSE(CONTROL!$C$15, $D$11, 100%, $F$11)</f>
        <v>20.369700000000002</v>
      </c>
      <c r="G666" s="8">
        <f>18.8947 * CHOOSE( CONTROL!$C$15, $D$11, 100%, $F$11)</f>
        <v>18.8947</v>
      </c>
      <c r="H666" s="4">
        <f>19.7796 * CHOOSE(CONTROL!$C$15, $D$11, 100%, $F$11)</f>
        <v>19.779599999999999</v>
      </c>
      <c r="I666" s="8">
        <f>18.6478 * CHOOSE(CONTROL!$C$15, $D$11, 100%, $F$11)</f>
        <v>18.6478</v>
      </c>
      <c r="J666" s="4">
        <f>18.5409 * CHOOSE(CONTROL!$C$15, $D$11, 100%, $F$11)</f>
        <v>18.540900000000001</v>
      </c>
      <c r="K666" s="4"/>
      <c r="L666" s="9">
        <v>24.747800000000002</v>
      </c>
      <c r="M666" s="9">
        <v>10.8962</v>
      </c>
      <c r="N666" s="9">
        <v>4.4660000000000002</v>
      </c>
      <c r="O666" s="9">
        <v>0.33829999999999999</v>
      </c>
      <c r="P666" s="9">
        <v>1.1687000000000001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18.9427 * CHOOSE(CONTROL!$C$15, $D$11, 100%, $F$11)</f>
        <v>18.942699999999999</v>
      </c>
      <c r="C667" s="8">
        <f>18.9532 * CHOOSE(CONTROL!$C$15, $D$11, 100%, $F$11)</f>
        <v>18.953199999999999</v>
      </c>
      <c r="D667" s="8">
        <f>18.9342 * CHOOSE( CONTROL!$C$15, $D$11, 100%, $F$11)</f>
        <v>18.934200000000001</v>
      </c>
      <c r="E667" s="12">
        <f>18.94 * CHOOSE( CONTROL!$C$15, $D$11, 100%, $F$11)</f>
        <v>18.940000000000001</v>
      </c>
      <c r="F667" s="4">
        <f>19.9416 * CHOOSE(CONTROL!$C$15, $D$11, 100%, $F$11)</f>
        <v>19.941600000000001</v>
      </c>
      <c r="G667" s="8">
        <f>18.4724 * CHOOSE( CONTROL!$C$15, $D$11, 100%, $F$11)</f>
        <v>18.4724</v>
      </c>
      <c r="H667" s="4">
        <f>19.3623 * CHOOSE(CONTROL!$C$15, $D$11, 100%, $F$11)</f>
        <v>19.362300000000001</v>
      </c>
      <c r="I667" s="8">
        <f>18.2134 * CHOOSE(CONTROL!$C$15, $D$11, 100%, $F$11)</f>
        <v>18.2134</v>
      </c>
      <c r="J667" s="4">
        <f>18.1462 * CHOOSE(CONTROL!$C$15, $D$11, 100%, $F$11)</f>
        <v>18.1462</v>
      </c>
      <c r="K667" s="4"/>
      <c r="L667" s="9">
        <v>27.3993</v>
      </c>
      <c r="M667" s="9">
        <v>12.063700000000001</v>
      </c>
      <c r="N667" s="9">
        <v>4.9444999999999997</v>
      </c>
      <c r="O667" s="9">
        <v>0.37459999999999999</v>
      </c>
      <c r="P667" s="9">
        <v>1.2939000000000001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19.2306 * CHOOSE(CONTROL!$C$15, $D$11, 100%, $F$11)</f>
        <v>19.230599999999999</v>
      </c>
      <c r="C668" s="8">
        <f>19.241 * CHOOSE(CONTROL!$C$15, $D$11, 100%, $F$11)</f>
        <v>19.241</v>
      </c>
      <c r="D668" s="8">
        <f>19.245 * CHOOSE( CONTROL!$C$15, $D$11, 100%, $F$11)</f>
        <v>19.245000000000001</v>
      </c>
      <c r="E668" s="12">
        <f>19.2425 * CHOOSE( CONTROL!$C$15, $D$11, 100%, $F$11)</f>
        <v>19.2425</v>
      </c>
      <c r="F668" s="4">
        <f>20.2378 * CHOOSE(CONTROL!$C$15, $D$11, 100%, $F$11)</f>
        <v>20.2378</v>
      </c>
      <c r="G668" s="8">
        <f>18.7414 * CHOOSE( CONTROL!$C$15, $D$11, 100%, $F$11)</f>
        <v>18.741399999999999</v>
      </c>
      <c r="H668" s="4">
        <f>19.651 * CHOOSE(CONTROL!$C$15, $D$11, 100%, $F$11)</f>
        <v>19.651</v>
      </c>
      <c r="I668" s="8">
        <f>18.4794 * CHOOSE(CONTROL!$C$15, $D$11, 100%, $F$11)</f>
        <v>18.479399999999998</v>
      </c>
      <c r="J668" s="4">
        <f>18.422 * CHOOSE(CONTROL!$C$15, $D$11, 100%, $F$11)</f>
        <v>18.422000000000001</v>
      </c>
      <c r="K668" s="4"/>
      <c r="L668" s="9">
        <v>27.988800000000001</v>
      </c>
      <c r="M668" s="9">
        <v>11.6745</v>
      </c>
      <c r="N668" s="9">
        <v>4.7850000000000001</v>
      </c>
      <c r="O668" s="9">
        <v>0.36249999999999999</v>
      </c>
      <c r="P668" s="9">
        <v>1.1798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CONTROL!$C$32, 19.7481, 19.7428) * CHOOSE(CONTROL!$C$15, $D$11, 100%, $F$11)</f>
        <v>19.748100000000001</v>
      </c>
      <c r="C669" s="8">
        <f>CHOOSE( CONTROL!$C$32, 19.7585, 19.7533) * CHOOSE(CONTROL!$C$15, $D$11, 100%, $F$11)</f>
        <v>19.758500000000002</v>
      </c>
      <c r="D669" s="8">
        <f>CHOOSE( CONTROL!$C$32, 19.7714, 19.7661) * CHOOSE( CONTROL!$C$15, $D$11, 100%, $F$11)</f>
        <v>19.7714</v>
      </c>
      <c r="E669" s="12">
        <f>CHOOSE( CONTROL!$C$32, 19.7651, 19.7599) * CHOOSE( CONTROL!$C$15, $D$11, 100%, $F$11)</f>
        <v>19.7651</v>
      </c>
      <c r="F669" s="4">
        <f>CHOOSE( CONTROL!$C$32, 20.771, 20.7657) * CHOOSE(CONTROL!$C$15, $D$11, 100%, $F$11)</f>
        <v>20.771000000000001</v>
      </c>
      <c r="G669" s="8">
        <f>CHOOSE( CONTROL!$C$32, 19.2515, 19.2463) * CHOOSE( CONTROL!$C$15, $D$11, 100%, $F$11)</f>
        <v>19.2515</v>
      </c>
      <c r="H669" s="4">
        <f>CHOOSE( CONTROL!$C$32, 20.1707, 20.1656) * CHOOSE(CONTROL!$C$15, $D$11, 100%, $F$11)</f>
        <v>20.1707</v>
      </c>
      <c r="I669" s="8">
        <f>CHOOSE( CONTROL!$C$32, 18.9809, 18.9758) * CHOOSE(CONTROL!$C$15, $D$11, 100%, $F$11)</f>
        <v>18.980899999999998</v>
      </c>
      <c r="J669" s="4">
        <f>CHOOSE( CONTROL!$C$32, 18.9179, 18.9128) * CHOOSE(CONTROL!$C$15, $D$11, 100%, $F$11)</f>
        <v>18.917899999999999</v>
      </c>
      <c r="K669" s="4"/>
      <c r="L669" s="9">
        <v>29.520499999999998</v>
      </c>
      <c r="M669" s="9">
        <v>12.063700000000001</v>
      </c>
      <c r="N669" s="9">
        <v>4.9444999999999997</v>
      </c>
      <c r="O669" s="9">
        <v>0.37459999999999999</v>
      </c>
      <c r="P669" s="9">
        <v>1.2192000000000001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CONTROL!$C$32, 19.4308, 19.4255) * CHOOSE(CONTROL!$C$15, $D$11, 100%, $F$11)</f>
        <v>19.430800000000001</v>
      </c>
      <c r="C670" s="8">
        <f>CHOOSE( CONTROL!$C$32, 19.4412, 19.4359) * CHOOSE(CONTROL!$C$15, $D$11, 100%, $F$11)</f>
        <v>19.441199999999998</v>
      </c>
      <c r="D670" s="8">
        <f>CHOOSE( CONTROL!$C$32, 19.4616, 19.4564) * CHOOSE( CONTROL!$C$15, $D$11, 100%, $F$11)</f>
        <v>19.461600000000001</v>
      </c>
      <c r="E670" s="12">
        <f>CHOOSE( CONTROL!$C$32, 19.4526, 19.4474) * CHOOSE( CONTROL!$C$15, $D$11, 100%, $F$11)</f>
        <v>19.4526</v>
      </c>
      <c r="F670" s="4">
        <f>CHOOSE( CONTROL!$C$32, 20.4662, 20.4609) * CHOOSE(CONTROL!$C$15, $D$11, 100%, $F$11)</f>
        <v>20.466200000000001</v>
      </c>
      <c r="G670" s="8">
        <f>CHOOSE( CONTROL!$C$32, 18.946, 18.9409) * CHOOSE( CONTROL!$C$15, $D$11, 100%, $F$11)</f>
        <v>18.946000000000002</v>
      </c>
      <c r="H670" s="4">
        <f>CHOOSE( CONTROL!$C$32, 19.8736, 19.8685) * CHOOSE(CONTROL!$C$15, $D$11, 100%, $F$11)</f>
        <v>19.8736</v>
      </c>
      <c r="I670" s="8">
        <f>CHOOSE( CONTROL!$C$32, 18.6819, 18.6768) * CHOOSE(CONTROL!$C$15, $D$11, 100%, $F$11)</f>
        <v>18.681899999999999</v>
      </c>
      <c r="J670" s="4">
        <f>CHOOSE( CONTROL!$C$32, 18.6138, 18.6088) * CHOOSE(CONTROL!$C$15, $D$11, 100%, $F$11)</f>
        <v>18.613800000000001</v>
      </c>
      <c r="K670" s="4"/>
      <c r="L670" s="9">
        <v>28.568200000000001</v>
      </c>
      <c r="M670" s="9">
        <v>11.6745</v>
      </c>
      <c r="N670" s="9">
        <v>4.7850000000000001</v>
      </c>
      <c r="O670" s="9">
        <v>0.36249999999999999</v>
      </c>
      <c r="P670" s="9">
        <v>1.1798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CONTROL!$C$32, 20.2664, 20.2612) * CHOOSE(CONTROL!$C$15, $D$11, 100%, $F$11)</f>
        <v>20.266400000000001</v>
      </c>
      <c r="C671" s="8">
        <f>CHOOSE( CONTROL!$C$32, 20.2769, 20.2716) * CHOOSE(CONTROL!$C$15, $D$11, 100%, $F$11)</f>
        <v>20.276900000000001</v>
      </c>
      <c r="D671" s="8">
        <f>CHOOSE( CONTROL!$C$32, 20.2875, 20.2822) * CHOOSE( CONTROL!$C$15, $D$11, 100%, $F$11)</f>
        <v>20.287500000000001</v>
      </c>
      <c r="E671" s="12">
        <f>CHOOSE( CONTROL!$C$32, 20.2821, 20.2768) * CHOOSE( CONTROL!$C$15, $D$11, 100%, $F$11)</f>
        <v>20.2821</v>
      </c>
      <c r="F671" s="4">
        <f>CHOOSE( CONTROL!$C$32, 21.3019, 21.2966) * CHOOSE(CONTROL!$C$15, $D$11, 100%, $F$11)</f>
        <v>21.3019</v>
      </c>
      <c r="G671" s="8">
        <f>CHOOSE( CONTROL!$C$32, 19.7473, 19.7422) * CHOOSE( CONTROL!$C$15, $D$11, 100%, $F$11)</f>
        <v>19.747299999999999</v>
      </c>
      <c r="H671" s="4">
        <f>CHOOSE( CONTROL!$C$32, 20.6882, 20.6831) * CHOOSE(CONTROL!$C$15, $D$11, 100%, $F$11)</f>
        <v>20.688199999999998</v>
      </c>
      <c r="I671" s="8">
        <f>CHOOSE( CONTROL!$C$32, 19.4864, 19.4814) * CHOOSE(CONTROL!$C$15, $D$11, 100%, $F$11)</f>
        <v>19.4864</v>
      </c>
      <c r="J671" s="4">
        <f>CHOOSE( CONTROL!$C$32, 19.4145, 19.4095) * CHOOSE(CONTROL!$C$15, $D$11, 100%, $F$11)</f>
        <v>19.4145</v>
      </c>
      <c r="K671" s="4"/>
      <c r="L671" s="9">
        <v>29.520499999999998</v>
      </c>
      <c r="M671" s="9">
        <v>12.063700000000001</v>
      </c>
      <c r="N671" s="9">
        <v>4.9444999999999997</v>
      </c>
      <c r="O671" s="9">
        <v>0.37459999999999999</v>
      </c>
      <c r="P671" s="9">
        <v>1.2192000000000001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CONTROL!$C$32, 18.7028, 18.6975) * CHOOSE(CONTROL!$C$15, $D$11, 100%, $F$11)</f>
        <v>18.7028</v>
      </c>
      <c r="C672" s="8">
        <f>CHOOSE( CONTROL!$C$32, 18.7132, 18.708) * CHOOSE(CONTROL!$C$15, $D$11, 100%, $F$11)</f>
        <v>18.713200000000001</v>
      </c>
      <c r="D672" s="8">
        <f>CHOOSE( CONTROL!$C$32, 18.7242, 18.7189) * CHOOSE( CONTROL!$C$15, $D$11, 100%, $F$11)</f>
        <v>18.7242</v>
      </c>
      <c r="E672" s="12">
        <f>CHOOSE( CONTROL!$C$32, 18.7186, 18.7133) * CHOOSE( CONTROL!$C$15, $D$11, 100%, $F$11)</f>
        <v>18.718599999999999</v>
      </c>
      <c r="F672" s="4">
        <f>CHOOSE( CONTROL!$C$32, 19.7382, 19.733) * CHOOSE(CONTROL!$C$15, $D$11, 100%, $F$11)</f>
        <v>19.738199999999999</v>
      </c>
      <c r="G672" s="8">
        <f>CHOOSE( CONTROL!$C$32, 18.2236, 18.2185) * CHOOSE( CONTROL!$C$15, $D$11, 100%, $F$11)</f>
        <v>18.223600000000001</v>
      </c>
      <c r="H672" s="4">
        <f>CHOOSE( CONTROL!$C$32, 19.164, 19.1589) * CHOOSE(CONTROL!$C$15, $D$11, 100%, $F$11)</f>
        <v>19.164000000000001</v>
      </c>
      <c r="I672" s="8">
        <f>CHOOSE( CONTROL!$C$32, 17.989, 17.9839) * CHOOSE(CONTROL!$C$15, $D$11, 100%, $F$11)</f>
        <v>17.989000000000001</v>
      </c>
      <c r="J672" s="4">
        <f>CHOOSE( CONTROL!$C$32, 17.9163, 17.9112) * CHOOSE(CONTROL!$C$15, $D$11, 100%, $F$11)</f>
        <v>17.9163</v>
      </c>
      <c r="K672" s="4"/>
      <c r="L672" s="9">
        <v>29.520499999999998</v>
      </c>
      <c r="M672" s="9">
        <v>12.063700000000001</v>
      </c>
      <c r="N672" s="9">
        <v>4.9444999999999997</v>
      </c>
      <c r="O672" s="9">
        <v>0.37459999999999999</v>
      </c>
      <c r="P672" s="9">
        <v>1.2192000000000001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CONTROL!$C$32, 18.3112, 18.306) * CHOOSE(CONTROL!$C$15, $D$11, 100%, $F$11)</f>
        <v>18.311199999999999</v>
      </c>
      <c r="C673" s="8">
        <f>CHOOSE( CONTROL!$C$32, 18.3217, 18.3164) * CHOOSE(CONTROL!$C$15, $D$11, 100%, $F$11)</f>
        <v>18.3217</v>
      </c>
      <c r="D673" s="8">
        <f>CHOOSE( CONTROL!$C$32, 18.3328, 18.3275) * CHOOSE( CONTROL!$C$15, $D$11, 100%, $F$11)</f>
        <v>18.332799999999999</v>
      </c>
      <c r="E673" s="12">
        <f>CHOOSE( CONTROL!$C$32, 18.3272, 18.3219) * CHOOSE( CONTROL!$C$15, $D$11, 100%, $F$11)</f>
        <v>18.327200000000001</v>
      </c>
      <c r="F673" s="4">
        <f>CHOOSE( CONTROL!$C$32, 19.3467, 19.3414) * CHOOSE(CONTROL!$C$15, $D$11, 100%, $F$11)</f>
        <v>19.346699999999998</v>
      </c>
      <c r="G673" s="8">
        <f>CHOOSE( CONTROL!$C$32, 17.8422, 17.8371) * CHOOSE( CONTROL!$C$15, $D$11, 100%, $F$11)</f>
        <v>17.842199999999998</v>
      </c>
      <c r="H673" s="4">
        <f>CHOOSE( CONTROL!$C$32, 18.7823, 18.7772) * CHOOSE(CONTROL!$C$15, $D$11, 100%, $F$11)</f>
        <v>18.782299999999999</v>
      </c>
      <c r="I673" s="8">
        <f>CHOOSE( CONTROL!$C$32, 17.6143, 17.6093) * CHOOSE(CONTROL!$C$15, $D$11, 100%, $F$11)</f>
        <v>17.6143</v>
      </c>
      <c r="J673" s="4">
        <f>CHOOSE( CONTROL!$C$32, 17.5411, 17.536) * CHOOSE(CONTROL!$C$15, $D$11, 100%, $F$11)</f>
        <v>17.5411</v>
      </c>
      <c r="K673" s="4"/>
      <c r="L673" s="9">
        <v>28.568200000000001</v>
      </c>
      <c r="M673" s="9">
        <v>11.6745</v>
      </c>
      <c r="N673" s="9">
        <v>4.7850000000000001</v>
      </c>
      <c r="O673" s="9">
        <v>0.36249999999999999</v>
      </c>
      <c r="P673" s="9">
        <v>1.1798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19.119 * CHOOSE(CONTROL!$C$15, $D$11, 100%, $F$11)</f>
        <v>19.119</v>
      </c>
      <c r="C674" s="8">
        <f>19.1294 * CHOOSE(CONTROL!$C$15, $D$11, 100%, $F$11)</f>
        <v>19.1294</v>
      </c>
      <c r="D674" s="8">
        <f>19.1418 * CHOOSE( CONTROL!$C$15, $D$11, 100%, $F$11)</f>
        <v>19.1418</v>
      </c>
      <c r="E674" s="12">
        <f>19.1366 * CHOOSE( CONTROL!$C$15, $D$11, 100%, $F$11)</f>
        <v>19.136600000000001</v>
      </c>
      <c r="F674" s="4">
        <f>20.1544 * CHOOSE(CONTROL!$C$15, $D$11, 100%, $F$11)</f>
        <v>20.154399999999999</v>
      </c>
      <c r="G674" s="8">
        <f>18.6289 * CHOOSE( CONTROL!$C$15, $D$11, 100%, $F$11)</f>
        <v>18.628900000000002</v>
      </c>
      <c r="H674" s="4">
        <f>19.5697 * CHOOSE(CONTROL!$C$15, $D$11, 100%, $F$11)</f>
        <v>19.569700000000001</v>
      </c>
      <c r="I674" s="8">
        <f>18.3901 * CHOOSE(CONTROL!$C$15, $D$11, 100%, $F$11)</f>
        <v>18.3901</v>
      </c>
      <c r="J674" s="4">
        <f>18.315 * CHOOSE(CONTROL!$C$15, $D$11, 100%, $F$11)</f>
        <v>18.315000000000001</v>
      </c>
      <c r="K674" s="4"/>
      <c r="L674" s="9">
        <v>28.921800000000001</v>
      </c>
      <c r="M674" s="9">
        <v>12.063700000000001</v>
      </c>
      <c r="N674" s="9">
        <v>4.9444999999999997</v>
      </c>
      <c r="O674" s="9">
        <v>0.37459999999999999</v>
      </c>
      <c r="P674" s="9">
        <v>1.2192000000000001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20.6196 * CHOOSE(CONTROL!$C$15, $D$11, 100%, $F$11)</f>
        <v>20.619599999999998</v>
      </c>
      <c r="C675" s="8">
        <f>20.63 * CHOOSE(CONTROL!$C$15, $D$11, 100%, $F$11)</f>
        <v>20.63</v>
      </c>
      <c r="D675" s="8">
        <f>20.6138 * CHOOSE( CONTROL!$C$15, $D$11, 100%, $F$11)</f>
        <v>20.613800000000001</v>
      </c>
      <c r="E675" s="12">
        <f>20.6186 * CHOOSE( CONTROL!$C$15, $D$11, 100%, $F$11)</f>
        <v>20.618600000000001</v>
      </c>
      <c r="F675" s="4">
        <f>21.6138 * CHOOSE(CONTROL!$C$15, $D$11, 100%, $F$11)</f>
        <v>21.613800000000001</v>
      </c>
      <c r="G675" s="8">
        <f>20.1127 * CHOOSE( CONTROL!$C$15, $D$11, 100%, $F$11)</f>
        <v>20.1127</v>
      </c>
      <c r="H675" s="4">
        <f>20.9923 * CHOOSE(CONTROL!$C$15, $D$11, 100%, $F$11)</f>
        <v>20.9923</v>
      </c>
      <c r="I675" s="8">
        <f>19.8656 * CHOOSE(CONTROL!$C$15, $D$11, 100%, $F$11)</f>
        <v>19.865600000000001</v>
      </c>
      <c r="J675" s="4">
        <f>19.7529 * CHOOSE(CONTROL!$C$15, $D$11, 100%, $F$11)</f>
        <v>19.7529</v>
      </c>
      <c r="K675" s="4"/>
      <c r="L675" s="9">
        <v>26.515499999999999</v>
      </c>
      <c r="M675" s="9">
        <v>11.6745</v>
      </c>
      <c r="N675" s="9">
        <v>4.7850000000000001</v>
      </c>
      <c r="O675" s="9">
        <v>0.36249999999999999</v>
      </c>
      <c r="P675" s="9">
        <v>1.2522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20.5821 * CHOOSE(CONTROL!$C$15, $D$11, 100%, $F$11)</f>
        <v>20.582100000000001</v>
      </c>
      <c r="C676" s="8">
        <f>20.5925 * CHOOSE(CONTROL!$C$15, $D$11, 100%, $F$11)</f>
        <v>20.592500000000001</v>
      </c>
      <c r="D676" s="8">
        <f>20.5786 * CHOOSE( CONTROL!$C$15, $D$11, 100%, $F$11)</f>
        <v>20.578600000000002</v>
      </c>
      <c r="E676" s="12">
        <f>20.5826 * CHOOSE( CONTROL!$C$15, $D$11, 100%, $F$11)</f>
        <v>20.582599999999999</v>
      </c>
      <c r="F676" s="4">
        <f>21.5763 * CHOOSE(CONTROL!$C$15, $D$11, 100%, $F$11)</f>
        <v>21.5763</v>
      </c>
      <c r="G676" s="8">
        <f>20.0778 * CHOOSE( CONTROL!$C$15, $D$11, 100%, $F$11)</f>
        <v>20.0778</v>
      </c>
      <c r="H676" s="4">
        <f>20.9557 * CHOOSE(CONTROL!$C$15, $D$11, 100%, $F$11)</f>
        <v>20.9557</v>
      </c>
      <c r="I676" s="8">
        <f>19.8372 * CHOOSE(CONTROL!$C$15, $D$11, 100%, $F$11)</f>
        <v>19.837199999999999</v>
      </c>
      <c r="J676" s="4">
        <f>19.717 * CHOOSE(CONTROL!$C$15, $D$11, 100%, $F$11)</f>
        <v>19.716999999999999</v>
      </c>
      <c r="K676" s="4"/>
      <c r="L676" s="9">
        <v>27.3993</v>
      </c>
      <c r="M676" s="9">
        <v>12.063700000000001</v>
      </c>
      <c r="N676" s="9">
        <v>4.9444999999999997</v>
      </c>
      <c r="O676" s="9">
        <v>0.37459999999999999</v>
      </c>
      <c r="P676" s="9">
        <v>1.2939000000000001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21.3686 * CHOOSE(CONTROL!$C$15, $D$11, 100%, $F$11)</f>
        <v>21.368600000000001</v>
      </c>
      <c r="C677" s="8">
        <f>21.379 * CHOOSE(CONTROL!$C$15, $D$11, 100%, $F$11)</f>
        <v>21.379000000000001</v>
      </c>
      <c r="D677" s="8">
        <f>21.3783 * CHOOSE( CONTROL!$C$15, $D$11, 100%, $F$11)</f>
        <v>21.378299999999999</v>
      </c>
      <c r="E677" s="12">
        <f>21.3774 * CHOOSE( CONTROL!$C$15, $D$11, 100%, $F$11)</f>
        <v>21.377400000000002</v>
      </c>
      <c r="F677" s="4">
        <f>22.3915 * CHOOSE(CONTROL!$C$15, $D$11, 100%, $F$11)</f>
        <v>22.391500000000001</v>
      </c>
      <c r="G677" s="8">
        <f>20.858 * CHOOSE( CONTROL!$C$15, $D$11, 100%, $F$11)</f>
        <v>20.858000000000001</v>
      </c>
      <c r="H677" s="4">
        <f>21.7503 * CHOOSE(CONTROL!$C$15, $D$11, 100%, $F$11)</f>
        <v>21.750299999999999</v>
      </c>
      <c r="I677" s="8">
        <f>20.5894 * CHOOSE(CONTROL!$C$15, $D$11, 100%, $F$11)</f>
        <v>20.589400000000001</v>
      </c>
      <c r="J677" s="4">
        <f>20.4706 * CHOOSE(CONTROL!$C$15, $D$11, 100%, $F$11)</f>
        <v>20.470600000000001</v>
      </c>
      <c r="K677" s="4"/>
      <c r="L677" s="9">
        <v>27.3993</v>
      </c>
      <c r="M677" s="9">
        <v>12.063700000000001</v>
      </c>
      <c r="N677" s="9">
        <v>4.9444999999999997</v>
      </c>
      <c r="O677" s="9">
        <v>0.37459999999999999</v>
      </c>
      <c r="P677" s="9">
        <v>1.2939000000000001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19.9874 * CHOOSE(CONTROL!$C$15, $D$11, 100%, $F$11)</f>
        <v>19.987400000000001</v>
      </c>
      <c r="C678" s="8">
        <f>19.9979 * CHOOSE(CONTROL!$C$15, $D$11, 100%, $F$11)</f>
        <v>19.997900000000001</v>
      </c>
      <c r="D678" s="8">
        <f>19.9994 * CHOOSE( CONTROL!$C$15, $D$11, 100%, $F$11)</f>
        <v>19.999400000000001</v>
      </c>
      <c r="E678" s="12">
        <f>19.9977 * CHOOSE( CONTROL!$C$15, $D$11, 100%, $F$11)</f>
        <v>19.997699999999998</v>
      </c>
      <c r="F678" s="4">
        <f>21.0025 * CHOOSE(CONTROL!$C$15, $D$11, 100%, $F$11)</f>
        <v>21.002500000000001</v>
      </c>
      <c r="G678" s="8">
        <f>19.5115 * CHOOSE( CONTROL!$C$15, $D$11, 100%, $F$11)</f>
        <v>19.511500000000002</v>
      </c>
      <c r="H678" s="4">
        <f>20.3964 * CHOOSE(CONTROL!$C$15, $D$11, 100%, $F$11)</f>
        <v>20.3964</v>
      </c>
      <c r="I678" s="8">
        <f>19.2544 * CHOOSE(CONTROL!$C$15, $D$11, 100%, $F$11)</f>
        <v>19.2544</v>
      </c>
      <c r="J678" s="4">
        <f>19.1472 * CHOOSE(CONTROL!$C$15, $D$11, 100%, $F$11)</f>
        <v>19.147200000000002</v>
      </c>
      <c r="K678" s="4"/>
      <c r="L678" s="9">
        <v>24.747800000000002</v>
      </c>
      <c r="M678" s="9">
        <v>10.8962</v>
      </c>
      <c r="N678" s="9">
        <v>4.4660000000000002</v>
      </c>
      <c r="O678" s="9">
        <v>0.33829999999999999</v>
      </c>
      <c r="P678" s="9">
        <v>1.1687000000000001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19.5621 * CHOOSE(CONTROL!$C$15, $D$11, 100%, $F$11)</f>
        <v>19.562100000000001</v>
      </c>
      <c r="C679" s="8">
        <f>19.5725 * CHOOSE(CONTROL!$C$15, $D$11, 100%, $F$11)</f>
        <v>19.572500000000002</v>
      </c>
      <c r="D679" s="8">
        <f>19.5535 * CHOOSE( CONTROL!$C$15, $D$11, 100%, $F$11)</f>
        <v>19.5535</v>
      </c>
      <c r="E679" s="12">
        <f>19.5593 * CHOOSE( CONTROL!$C$15, $D$11, 100%, $F$11)</f>
        <v>19.5593</v>
      </c>
      <c r="F679" s="4">
        <f>20.561 * CHOOSE(CONTROL!$C$15, $D$11, 100%, $F$11)</f>
        <v>20.561</v>
      </c>
      <c r="G679" s="8">
        <f>19.0761 * CHOOSE( CONTROL!$C$15, $D$11, 100%, $F$11)</f>
        <v>19.0761</v>
      </c>
      <c r="H679" s="4">
        <f>19.966 * CHOOSE(CONTROL!$C$15, $D$11, 100%, $F$11)</f>
        <v>19.966000000000001</v>
      </c>
      <c r="I679" s="8">
        <f>18.8071 * CHOOSE(CONTROL!$C$15, $D$11, 100%, $F$11)</f>
        <v>18.807099999999998</v>
      </c>
      <c r="J679" s="4">
        <f>18.7396 * CHOOSE(CONTROL!$C$15, $D$11, 100%, $F$11)</f>
        <v>18.739599999999999</v>
      </c>
      <c r="K679" s="4"/>
      <c r="L679" s="9">
        <v>27.3993</v>
      </c>
      <c r="M679" s="9">
        <v>12.063700000000001</v>
      </c>
      <c r="N679" s="9">
        <v>4.9444999999999997</v>
      </c>
      <c r="O679" s="9">
        <v>0.37459999999999999</v>
      </c>
      <c r="P679" s="9">
        <v>1.2939000000000001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19.8593 * CHOOSE(CONTROL!$C$15, $D$11, 100%, $F$11)</f>
        <v>19.859300000000001</v>
      </c>
      <c r="C680" s="8">
        <f>19.8697 * CHOOSE(CONTROL!$C$15, $D$11, 100%, $F$11)</f>
        <v>19.869700000000002</v>
      </c>
      <c r="D680" s="8">
        <f>19.8738 * CHOOSE( CONTROL!$C$15, $D$11, 100%, $F$11)</f>
        <v>19.873799999999999</v>
      </c>
      <c r="E680" s="12">
        <f>19.8713 * CHOOSE( CONTROL!$C$15, $D$11, 100%, $F$11)</f>
        <v>19.871300000000002</v>
      </c>
      <c r="F680" s="4">
        <f>20.8666 * CHOOSE(CONTROL!$C$15, $D$11, 100%, $F$11)</f>
        <v>20.866599999999998</v>
      </c>
      <c r="G680" s="8">
        <f>19.3543 * CHOOSE( CONTROL!$C$15, $D$11, 100%, $F$11)</f>
        <v>19.354299999999999</v>
      </c>
      <c r="H680" s="4">
        <f>20.2639 * CHOOSE(CONTROL!$C$15, $D$11, 100%, $F$11)</f>
        <v>20.2639</v>
      </c>
      <c r="I680" s="8">
        <f>19.0822 * CHOOSE(CONTROL!$C$15, $D$11, 100%, $F$11)</f>
        <v>19.0822</v>
      </c>
      <c r="J680" s="4">
        <f>19.0244 * CHOOSE(CONTROL!$C$15, $D$11, 100%, $F$11)</f>
        <v>19.0244</v>
      </c>
      <c r="K680" s="4"/>
      <c r="L680" s="9">
        <v>27.988800000000001</v>
      </c>
      <c r="M680" s="9">
        <v>11.6745</v>
      </c>
      <c r="N680" s="9">
        <v>4.7850000000000001</v>
      </c>
      <c r="O680" s="9">
        <v>0.36249999999999999</v>
      </c>
      <c r="P680" s="9">
        <v>1.1798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CONTROL!$C$32, 20.3936, 20.3883) * CHOOSE(CONTROL!$C$15, $D$11, 100%, $F$11)</f>
        <v>20.393599999999999</v>
      </c>
      <c r="C681" s="8">
        <f>CHOOSE( CONTROL!$C$32, 20.404, 20.3988) * CHOOSE(CONTROL!$C$15, $D$11, 100%, $F$11)</f>
        <v>20.404</v>
      </c>
      <c r="D681" s="8">
        <f>CHOOSE( CONTROL!$C$32, 20.4169, 20.4116) * CHOOSE( CONTROL!$C$15, $D$11, 100%, $F$11)</f>
        <v>20.416899999999998</v>
      </c>
      <c r="E681" s="12">
        <f>CHOOSE( CONTROL!$C$32, 20.4106, 20.4054) * CHOOSE( CONTROL!$C$15, $D$11, 100%, $F$11)</f>
        <v>20.410599999999999</v>
      </c>
      <c r="F681" s="4">
        <f>CHOOSE( CONTROL!$C$32, 21.4165, 21.4112) * CHOOSE(CONTROL!$C$15, $D$11, 100%, $F$11)</f>
        <v>21.416499999999999</v>
      </c>
      <c r="G681" s="8">
        <f>CHOOSE( CONTROL!$C$32, 19.8807, 19.8756) * CHOOSE( CONTROL!$C$15, $D$11, 100%, $F$11)</f>
        <v>19.880700000000001</v>
      </c>
      <c r="H681" s="4">
        <f>CHOOSE( CONTROL!$C$32, 20.7999, 20.7948) * CHOOSE(CONTROL!$C$15, $D$11, 100%, $F$11)</f>
        <v>20.799900000000001</v>
      </c>
      <c r="I681" s="8">
        <f>CHOOSE( CONTROL!$C$32, 19.5997, 19.5947) * CHOOSE(CONTROL!$C$15, $D$11, 100%, $F$11)</f>
        <v>19.599699999999999</v>
      </c>
      <c r="J681" s="4">
        <f>CHOOSE( CONTROL!$C$32, 19.5364, 19.5313) * CHOOSE(CONTROL!$C$15, $D$11, 100%, $F$11)</f>
        <v>19.5364</v>
      </c>
      <c r="K681" s="4"/>
      <c r="L681" s="9">
        <v>29.520499999999998</v>
      </c>
      <c r="M681" s="9">
        <v>12.063700000000001</v>
      </c>
      <c r="N681" s="9">
        <v>4.9444999999999997</v>
      </c>
      <c r="O681" s="9">
        <v>0.37459999999999999</v>
      </c>
      <c r="P681" s="9">
        <v>1.2192000000000001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CONTROL!$C$32, 20.0659, 20.0606) * CHOOSE(CONTROL!$C$15, $D$11, 100%, $F$11)</f>
        <v>20.065899999999999</v>
      </c>
      <c r="C682" s="8">
        <f>CHOOSE( CONTROL!$C$32, 20.0763, 20.0711) * CHOOSE(CONTROL!$C$15, $D$11, 100%, $F$11)</f>
        <v>20.0763</v>
      </c>
      <c r="D682" s="8">
        <f>CHOOSE( CONTROL!$C$32, 20.0967, 20.0915) * CHOOSE( CONTROL!$C$15, $D$11, 100%, $F$11)</f>
        <v>20.096699999999998</v>
      </c>
      <c r="E682" s="12">
        <f>CHOOSE( CONTROL!$C$32, 20.0877, 20.0825) * CHOOSE( CONTROL!$C$15, $D$11, 100%, $F$11)</f>
        <v>20.087700000000002</v>
      </c>
      <c r="F682" s="4">
        <f>CHOOSE( CONTROL!$C$32, 21.1013, 21.096) * CHOOSE(CONTROL!$C$15, $D$11, 100%, $F$11)</f>
        <v>21.101299999999998</v>
      </c>
      <c r="G682" s="8">
        <f>CHOOSE( CONTROL!$C$32, 19.5651, 19.56) * CHOOSE( CONTROL!$C$15, $D$11, 100%, $F$11)</f>
        <v>19.565100000000001</v>
      </c>
      <c r="H682" s="4">
        <f>CHOOSE( CONTROL!$C$32, 20.4927, 20.4876) * CHOOSE(CONTROL!$C$15, $D$11, 100%, $F$11)</f>
        <v>20.492699999999999</v>
      </c>
      <c r="I682" s="8">
        <f>CHOOSE( CONTROL!$C$32, 19.2908, 19.2857) * CHOOSE(CONTROL!$C$15, $D$11, 100%, $F$11)</f>
        <v>19.290800000000001</v>
      </c>
      <c r="J682" s="4">
        <f>CHOOSE( CONTROL!$C$32, 19.2224, 19.2173) * CHOOSE(CONTROL!$C$15, $D$11, 100%, $F$11)</f>
        <v>19.2224</v>
      </c>
      <c r="K682" s="4"/>
      <c r="L682" s="9">
        <v>28.568200000000001</v>
      </c>
      <c r="M682" s="9">
        <v>11.6745</v>
      </c>
      <c r="N682" s="9">
        <v>4.7850000000000001</v>
      </c>
      <c r="O682" s="9">
        <v>0.36249999999999999</v>
      </c>
      <c r="P682" s="9">
        <v>1.1798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CONTROL!$C$32, 20.9289, 20.9236) * CHOOSE(CONTROL!$C$15, $D$11, 100%, $F$11)</f>
        <v>20.928899999999999</v>
      </c>
      <c r="C683" s="8">
        <f>CHOOSE( CONTROL!$C$32, 20.9393, 20.9341) * CHOOSE(CONTROL!$C$15, $D$11, 100%, $F$11)</f>
        <v>20.939299999999999</v>
      </c>
      <c r="D683" s="8">
        <f>CHOOSE( CONTROL!$C$32, 20.9499, 20.9447) * CHOOSE( CONTROL!$C$15, $D$11, 100%, $F$11)</f>
        <v>20.9499</v>
      </c>
      <c r="E683" s="12">
        <f>CHOOSE( CONTROL!$C$32, 20.9445, 20.9393) * CHOOSE( CONTROL!$C$15, $D$11, 100%, $F$11)</f>
        <v>20.944500000000001</v>
      </c>
      <c r="F683" s="4">
        <f>CHOOSE( CONTROL!$C$32, 21.9643, 21.9591) * CHOOSE(CONTROL!$C$15, $D$11, 100%, $F$11)</f>
        <v>21.964300000000001</v>
      </c>
      <c r="G683" s="8">
        <f>CHOOSE( CONTROL!$C$32, 20.3931, 20.388) * CHOOSE( CONTROL!$C$15, $D$11, 100%, $F$11)</f>
        <v>20.3931</v>
      </c>
      <c r="H683" s="4">
        <f>CHOOSE( CONTROL!$C$32, 21.3339, 21.3288) * CHOOSE(CONTROL!$C$15, $D$11, 100%, $F$11)</f>
        <v>21.3339</v>
      </c>
      <c r="I683" s="8">
        <f>CHOOSE( CONTROL!$C$32, 20.1215, 20.1164) * CHOOSE(CONTROL!$C$15, $D$11, 100%, $F$11)</f>
        <v>20.121500000000001</v>
      </c>
      <c r="J683" s="4">
        <f>CHOOSE( CONTROL!$C$32, 20.0493, 20.0443) * CHOOSE(CONTROL!$C$15, $D$11, 100%, $F$11)</f>
        <v>20.049299999999999</v>
      </c>
      <c r="K683" s="4"/>
      <c r="L683" s="9">
        <v>29.520499999999998</v>
      </c>
      <c r="M683" s="9">
        <v>12.063700000000001</v>
      </c>
      <c r="N683" s="9">
        <v>4.9444999999999997</v>
      </c>
      <c r="O683" s="9">
        <v>0.37459999999999999</v>
      </c>
      <c r="P683" s="9">
        <v>1.2192000000000001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CONTROL!$C$32, 19.3141, 19.3089) * CHOOSE(CONTROL!$C$15, $D$11, 100%, $F$11)</f>
        <v>19.3141</v>
      </c>
      <c r="C684" s="8">
        <f>CHOOSE( CONTROL!$C$32, 19.3245, 19.3193) * CHOOSE(CONTROL!$C$15, $D$11, 100%, $F$11)</f>
        <v>19.3245</v>
      </c>
      <c r="D684" s="8">
        <f>CHOOSE( CONTROL!$C$32, 19.3355, 19.3302) * CHOOSE( CONTROL!$C$15, $D$11, 100%, $F$11)</f>
        <v>19.3355</v>
      </c>
      <c r="E684" s="12">
        <f>CHOOSE( CONTROL!$C$32, 19.3299, 19.3247) * CHOOSE( CONTROL!$C$15, $D$11, 100%, $F$11)</f>
        <v>19.329899999999999</v>
      </c>
      <c r="F684" s="4">
        <f>CHOOSE( CONTROL!$C$32, 20.3495, 20.3443) * CHOOSE(CONTROL!$C$15, $D$11, 100%, $F$11)</f>
        <v>20.349499999999999</v>
      </c>
      <c r="G684" s="8">
        <f>CHOOSE( CONTROL!$C$32, 18.8195, 18.8144) * CHOOSE( CONTROL!$C$15, $D$11, 100%, $F$11)</f>
        <v>18.819500000000001</v>
      </c>
      <c r="H684" s="4">
        <f>CHOOSE( CONTROL!$C$32, 19.7599, 19.7548) * CHOOSE(CONTROL!$C$15, $D$11, 100%, $F$11)</f>
        <v>19.759899999999998</v>
      </c>
      <c r="I684" s="8">
        <f>CHOOSE( CONTROL!$C$32, 18.575, 18.57) * CHOOSE(CONTROL!$C$15, $D$11, 100%, $F$11)</f>
        <v>18.574999999999999</v>
      </c>
      <c r="J684" s="4">
        <f>CHOOSE( CONTROL!$C$32, 18.502, 18.497) * CHOOSE(CONTROL!$C$15, $D$11, 100%, $F$11)</f>
        <v>18.501999999999999</v>
      </c>
      <c r="K684" s="4"/>
      <c r="L684" s="9">
        <v>29.520499999999998</v>
      </c>
      <c r="M684" s="9">
        <v>12.063700000000001</v>
      </c>
      <c r="N684" s="9">
        <v>4.9444999999999997</v>
      </c>
      <c r="O684" s="9">
        <v>0.37459999999999999</v>
      </c>
      <c r="P684" s="9">
        <v>1.2192000000000001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CONTROL!$C$32, 18.9098, 18.9045) * CHOOSE(CONTROL!$C$15, $D$11, 100%, $F$11)</f>
        <v>18.909800000000001</v>
      </c>
      <c r="C685" s="8">
        <f>CHOOSE( CONTROL!$C$32, 18.9202, 18.9149) * CHOOSE(CONTROL!$C$15, $D$11, 100%, $F$11)</f>
        <v>18.920200000000001</v>
      </c>
      <c r="D685" s="8">
        <f>CHOOSE( CONTROL!$C$32, 18.9313, 18.926) * CHOOSE( CONTROL!$C$15, $D$11, 100%, $F$11)</f>
        <v>18.9313</v>
      </c>
      <c r="E685" s="12">
        <f>CHOOSE( CONTROL!$C$32, 18.9257, 18.9204) * CHOOSE( CONTROL!$C$15, $D$11, 100%, $F$11)</f>
        <v>18.925699999999999</v>
      </c>
      <c r="F685" s="4">
        <f>CHOOSE( CONTROL!$C$32, 19.9452, 19.9399) * CHOOSE(CONTROL!$C$15, $D$11, 100%, $F$11)</f>
        <v>19.9452</v>
      </c>
      <c r="G685" s="8">
        <f>CHOOSE( CONTROL!$C$32, 18.4256, 18.4205) * CHOOSE( CONTROL!$C$15, $D$11, 100%, $F$11)</f>
        <v>18.425599999999999</v>
      </c>
      <c r="H685" s="4">
        <f>CHOOSE( CONTROL!$C$32, 19.3657, 19.3606) * CHOOSE(CONTROL!$C$15, $D$11, 100%, $F$11)</f>
        <v>19.3657</v>
      </c>
      <c r="I685" s="8">
        <f>CHOOSE( CONTROL!$C$32, 18.1881, 18.183) * CHOOSE(CONTROL!$C$15, $D$11, 100%, $F$11)</f>
        <v>18.188099999999999</v>
      </c>
      <c r="J685" s="4">
        <f>CHOOSE( CONTROL!$C$32, 18.1146, 18.1095) * CHOOSE(CONTROL!$C$15, $D$11, 100%, $F$11)</f>
        <v>18.114599999999999</v>
      </c>
      <c r="K685" s="4"/>
      <c r="L685" s="9">
        <v>28.568200000000001</v>
      </c>
      <c r="M685" s="9">
        <v>11.6745</v>
      </c>
      <c r="N685" s="9">
        <v>4.7850000000000001</v>
      </c>
      <c r="O685" s="9">
        <v>0.36249999999999999</v>
      </c>
      <c r="P685" s="9">
        <v>1.1798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19.7441 * CHOOSE(CONTROL!$C$15, $D$11, 100%, $F$11)</f>
        <v>19.7441</v>
      </c>
      <c r="C686" s="8">
        <f>19.7545 * CHOOSE(CONTROL!$C$15, $D$11, 100%, $F$11)</f>
        <v>19.7545</v>
      </c>
      <c r="D686" s="8">
        <f>19.7669 * CHOOSE( CONTROL!$C$15, $D$11, 100%, $F$11)</f>
        <v>19.7669</v>
      </c>
      <c r="E686" s="12">
        <f>19.7617 * CHOOSE( CONTROL!$C$15, $D$11, 100%, $F$11)</f>
        <v>19.761700000000001</v>
      </c>
      <c r="F686" s="4">
        <f>20.7795 * CHOOSE(CONTROL!$C$15, $D$11, 100%, $F$11)</f>
        <v>20.779499999999999</v>
      </c>
      <c r="G686" s="8">
        <f>19.2382 * CHOOSE( CONTROL!$C$15, $D$11, 100%, $F$11)</f>
        <v>19.238199999999999</v>
      </c>
      <c r="H686" s="4">
        <f>20.179 * CHOOSE(CONTROL!$C$15, $D$11, 100%, $F$11)</f>
        <v>20.178999999999998</v>
      </c>
      <c r="I686" s="8">
        <f>18.9894 * CHOOSE(CONTROL!$C$15, $D$11, 100%, $F$11)</f>
        <v>18.9894</v>
      </c>
      <c r="J686" s="4">
        <f>18.914 * CHOOSE(CONTROL!$C$15, $D$11, 100%, $F$11)</f>
        <v>18.914000000000001</v>
      </c>
      <c r="K686" s="4"/>
      <c r="L686" s="9">
        <v>28.921800000000001</v>
      </c>
      <c r="M686" s="9">
        <v>12.063700000000001</v>
      </c>
      <c r="N686" s="9">
        <v>4.9444999999999997</v>
      </c>
      <c r="O686" s="9">
        <v>0.37459999999999999</v>
      </c>
      <c r="P686" s="9">
        <v>1.2192000000000001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21.2938 * CHOOSE(CONTROL!$C$15, $D$11, 100%, $F$11)</f>
        <v>21.293800000000001</v>
      </c>
      <c r="C687" s="8">
        <f>21.3042 * CHOOSE(CONTROL!$C$15, $D$11, 100%, $F$11)</f>
        <v>21.304200000000002</v>
      </c>
      <c r="D687" s="8">
        <f>21.288 * CHOOSE( CONTROL!$C$15, $D$11, 100%, $F$11)</f>
        <v>21.288</v>
      </c>
      <c r="E687" s="12">
        <f>21.2928 * CHOOSE( CONTROL!$C$15, $D$11, 100%, $F$11)</f>
        <v>21.2928</v>
      </c>
      <c r="F687" s="4">
        <f>22.288 * CHOOSE(CONTROL!$C$15, $D$11, 100%, $F$11)</f>
        <v>22.288</v>
      </c>
      <c r="G687" s="8">
        <f>20.7698 * CHOOSE( CONTROL!$C$15, $D$11, 100%, $F$11)</f>
        <v>20.7698</v>
      </c>
      <c r="H687" s="4">
        <f>21.6494 * CHOOSE(CONTROL!$C$15, $D$11, 100%, $F$11)</f>
        <v>21.6494</v>
      </c>
      <c r="I687" s="8">
        <f>20.5119 * CHOOSE(CONTROL!$C$15, $D$11, 100%, $F$11)</f>
        <v>20.511900000000001</v>
      </c>
      <c r="J687" s="4">
        <f>20.3989 * CHOOSE(CONTROL!$C$15, $D$11, 100%, $F$11)</f>
        <v>20.398900000000001</v>
      </c>
      <c r="K687" s="4"/>
      <c r="L687" s="9">
        <v>26.515499999999999</v>
      </c>
      <c r="M687" s="9">
        <v>11.6745</v>
      </c>
      <c r="N687" s="9">
        <v>4.7850000000000001</v>
      </c>
      <c r="O687" s="9">
        <v>0.36249999999999999</v>
      </c>
      <c r="P687" s="9">
        <v>1.2522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21.2551 * CHOOSE(CONTROL!$C$15, $D$11, 100%, $F$11)</f>
        <v>21.255099999999999</v>
      </c>
      <c r="C688" s="8">
        <f>21.2655 * CHOOSE(CONTROL!$C$15, $D$11, 100%, $F$11)</f>
        <v>21.265499999999999</v>
      </c>
      <c r="D688" s="8">
        <f>21.2515 * CHOOSE( CONTROL!$C$15, $D$11, 100%, $F$11)</f>
        <v>21.2515</v>
      </c>
      <c r="E688" s="12">
        <f>21.2555 * CHOOSE( CONTROL!$C$15, $D$11, 100%, $F$11)</f>
        <v>21.255500000000001</v>
      </c>
      <c r="F688" s="4">
        <f>22.2493 * CHOOSE(CONTROL!$C$15, $D$11, 100%, $F$11)</f>
        <v>22.249300000000002</v>
      </c>
      <c r="G688" s="8">
        <f>20.7338 * CHOOSE( CONTROL!$C$15, $D$11, 100%, $F$11)</f>
        <v>20.733799999999999</v>
      </c>
      <c r="H688" s="4">
        <f>21.6117 * CHOOSE(CONTROL!$C$15, $D$11, 100%, $F$11)</f>
        <v>21.611699999999999</v>
      </c>
      <c r="I688" s="8">
        <f>20.4823 * CHOOSE(CONTROL!$C$15, $D$11, 100%, $F$11)</f>
        <v>20.482299999999999</v>
      </c>
      <c r="J688" s="4">
        <f>20.3618 * CHOOSE(CONTROL!$C$15, $D$11, 100%, $F$11)</f>
        <v>20.361799999999999</v>
      </c>
      <c r="K688" s="4"/>
      <c r="L688" s="9">
        <v>27.3993</v>
      </c>
      <c r="M688" s="9">
        <v>12.063700000000001</v>
      </c>
      <c r="N688" s="9">
        <v>4.9444999999999997</v>
      </c>
      <c r="O688" s="9">
        <v>0.37459999999999999</v>
      </c>
      <c r="P688" s="9">
        <v>1.2939000000000001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22.0672 * CHOOSE(CONTROL!$C$15, $D$11, 100%, $F$11)</f>
        <v>22.0672</v>
      </c>
      <c r="C689" s="8">
        <f>22.0777 * CHOOSE(CONTROL!$C$15, $D$11, 100%, $F$11)</f>
        <v>22.0777</v>
      </c>
      <c r="D689" s="8">
        <f>22.077 * CHOOSE( CONTROL!$C$15, $D$11, 100%, $F$11)</f>
        <v>22.077000000000002</v>
      </c>
      <c r="E689" s="12">
        <f>22.0761 * CHOOSE( CONTROL!$C$15, $D$11, 100%, $F$11)</f>
        <v>22.0761</v>
      </c>
      <c r="F689" s="4">
        <f>23.0901 * CHOOSE(CONTROL!$C$15, $D$11, 100%, $F$11)</f>
        <v>23.0901</v>
      </c>
      <c r="G689" s="8">
        <f>21.5391 * CHOOSE( CONTROL!$C$15, $D$11, 100%, $F$11)</f>
        <v>21.539100000000001</v>
      </c>
      <c r="H689" s="4">
        <f>22.4314 * CHOOSE(CONTROL!$C$15, $D$11, 100%, $F$11)</f>
        <v>22.4314</v>
      </c>
      <c r="I689" s="8">
        <f>21.2592 * CHOOSE(CONTROL!$C$15, $D$11, 100%, $F$11)</f>
        <v>21.2592</v>
      </c>
      <c r="J689" s="4">
        <f>21.1401 * CHOOSE(CONTROL!$C$15, $D$11, 100%, $F$11)</f>
        <v>21.1401</v>
      </c>
      <c r="K689" s="4"/>
      <c r="L689" s="9">
        <v>27.3993</v>
      </c>
      <c r="M689" s="9">
        <v>12.063700000000001</v>
      </c>
      <c r="N689" s="9">
        <v>4.9444999999999997</v>
      </c>
      <c r="O689" s="9">
        <v>0.37459999999999999</v>
      </c>
      <c r="P689" s="9">
        <v>1.2939000000000001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20.6409 * CHOOSE(CONTROL!$C$15, $D$11, 100%, $F$11)</f>
        <v>20.640899999999998</v>
      </c>
      <c r="C690" s="8">
        <f>20.6514 * CHOOSE(CONTROL!$C$15, $D$11, 100%, $F$11)</f>
        <v>20.651399999999999</v>
      </c>
      <c r="D690" s="8">
        <f>20.6529 * CHOOSE( CONTROL!$C$15, $D$11, 100%, $F$11)</f>
        <v>20.652899999999999</v>
      </c>
      <c r="E690" s="12">
        <f>20.6512 * CHOOSE( CONTROL!$C$15, $D$11, 100%, $F$11)</f>
        <v>20.651199999999999</v>
      </c>
      <c r="F690" s="4">
        <f>21.656 * CHOOSE(CONTROL!$C$15, $D$11, 100%, $F$11)</f>
        <v>21.655999999999999</v>
      </c>
      <c r="G690" s="8">
        <f>20.1485 * CHOOSE( CONTROL!$C$15, $D$11, 100%, $F$11)</f>
        <v>20.148499999999999</v>
      </c>
      <c r="H690" s="4">
        <f>21.0334 * CHOOSE(CONTROL!$C$15, $D$11, 100%, $F$11)</f>
        <v>21.0334</v>
      </c>
      <c r="I690" s="8">
        <f>19.8809 * CHOOSE(CONTROL!$C$15, $D$11, 100%, $F$11)</f>
        <v>19.8809</v>
      </c>
      <c r="J690" s="4">
        <f>19.7734 * CHOOSE(CONTROL!$C$15, $D$11, 100%, $F$11)</f>
        <v>19.773399999999999</v>
      </c>
      <c r="K690" s="4"/>
      <c r="L690" s="9">
        <v>25.631599999999999</v>
      </c>
      <c r="M690" s="9">
        <v>11.285299999999999</v>
      </c>
      <c r="N690" s="9">
        <v>4.6254999999999997</v>
      </c>
      <c r="O690" s="9">
        <v>0.35039999999999999</v>
      </c>
      <c r="P690" s="9">
        <v>1.2104999999999999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20.2016 * CHOOSE(CONTROL!$C$15, $D$11, 100%, $F$11)</f>
        <v>20.201599999999999</v>
      </c>
      <c r="C691" s="8">
        <f>20.2121 * CHOOSE(CONTROL!$C$15, $D$11, 100%, $F$11)</f>
        <v>20.2121</v>
      </c>
      <c r="D691" s="8">
        <f>20.1931 * CHOOSE( CONTROL!$C$15, $D$11, 100%, $F$11)</f>
        <v>20.193100000000001</v>
      </c>
      <c r="E691" s="12">
        <f>20.1989 * CHOOSE( CONTROL!$C$15, $D$11, 100%, $F$11)</f>
        <v>20.198899999999998</v>
      </c>
      <c r="F691" s="4">
        <f>21.2006 * CHOOSE(CONTROL!$C$15, $D$11, 100%, $F$11)</f>
        <v>21.200600000000001</v>
      </c>
      <c r="G691" s="8">
        <f>19.6996 * CHOOSE( CONTROL!$C$15, $D$11, 100%, $F$11)</f>
        <v>19.6996</v>
      </c>
      <c r="H691" s="4">
        <f>20.5894 * CHOOSE(CONTROL!$C$15, $D$11, 100%, $F$11)</f>
        <v>20.589400000000001</v>
      </c>
      <c r="I691" s="8">
        <f>19.4203 * CHOOSE(CONTROL!$C$15, $D$11, 100%, $F$11)</f>
        <v>19.420300000000001</v>
      </c>
      <c r="J691" s="4">
        <f>19.3525 * CHOOSE(CONTROL!$C$15, $D$11, 100%, $F$11)</f>
        <v>19.352499999999999</v>
      </c>
      <c r="K691" s="4"/>
      <c r="L691" s="9">
        <v>27.3993</v>
      </c>
      <c r="M691" s="9">
        <v>12.063700000000001</v>
      </c>
      <c r="N691" s="9">
        <v>4.9444999999999997</v>
      </c>
      <c r="O691" s="9">
        <v>0.37459999999999999</v>
      </c>
      <c r="P691" s="9">
        <v>1.2939000000000001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20.5086 * CHOOSE(CONTROL!$C$15, $D$11, 100%, $F$11)</f>
        <v>20.508600000000001</v>
      </c>
      <c r="C692" s="8">
        <f>20.5191 * CHOOSE(CONTROL!$C$15, $D$11, 100%, $F$11)</f>
        <v>20.519100000000002</v>
      </c>
      <c r="D692" s="8">
        <f>20.5231 * CHOOSE( CONTROL!$C$15, $D$11, 100%, $F$11)</f>
        <v>20.523099999999999</v>
      </c>
      <c r="E692" s="12">
        <f>20.5206 * CHOOSE( CONTROL!$C$15, $D$11, 100%, $F$11)</f>
        <v>20.520600000000002</v>
      </c>
      <c r="F692" s="4">
        <f>21.5159 * CHOOSE(CONTROL!$C$15, $D$11, 100%, $F$11)</f>
        <v>21.515899999999998</v>
      </c>
      <c r="G692" s="8">
        <f>19.9872 * CHOOSE( CONTROL!$C$15, $D$11, 100%, $F$11)</f>
        <v>19.987200000000001</v>
      </c>
      <c r="H692" s="4">
        <f>20.8968 * CHOOSE(CONTROL!$C$15, $D$11, 100%, $F$11)</f>
        <v>20.896799999999999</v>
      </c>
      <c r="I692" s="8">
        <f>19.7047 * CHOOSE(CONTROL!$C$15, $D$11, 100%, $F$11)</f>
        <v>19.704699999999999</v>
      </c>
      <c r="J692" s="4">
        <f>19.6466 * CHOOSE(CONTROL!$C$15, $D$11, 100%, $F$11)</f>
        <v>19.646599999999999</v>
      </c>
      <c r="K692" s="4"/>
      <c r="L692" s="9">
        <v>27.988800000000001</v>
      </c>
      <c r="M692" s="9">
        <v>11.6745</v>
      </c>
      <c r="N692" s="9">
        <v>4.7850000000000001</v>
      </c>
      <c r="O692" s="9">
        <v>0.36249999999999999</v>
      </c>
      <c r="P692" s="9">
        <v>1.1798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CONTROL!$C$32, 21.0602, 21.0549) * CHOOSE(CONTROL!$C$15, $D$11, 100%, $F$11)</f>
        <v>21.060199999999998</v>
      </c>
      <c r="C693" s="8">
        <f>CHOOSE( CONTROL!$C$32, 21.0706, 21.0654) * CHOOSE(CONTROL!$C$15, $D$11, 100%, $F$11)</f>
        <v>21.070599999999999</v>
      </c>
      <c r="D693" s="8">
        <f>CHOOSE( CONTROL!$C$32, 21.0835, 21.0782) * CHOOSE( CONTROL!$C$15, $D$11, 100%, $F$11)</f>
        <v>21.083500000000001</v>
      </c>
      <c r="E693" s="12">
        <f>CHOOSE( CONTROL!$C$32, 21.0772, 21.072) * CHOOSE( CONTROL!$C$15, $D$11, 100%, $F$11)</f>
        <v>21.077200000000001</v>
      </c>
      <c r="F693" s="4">
        <f>CHOOSE( CONTROL!$C$32, 22.0831, 22.0779) * CHOOSE(CONTROL!$C$15, $D$11, 100%, $F$11)</f>
        <v>22.083100000000002</v>
      </c>
      <c r="G693" s="8">
        <f>CHOOSE( CONTROL!$C$32, 20.5305, 20.5253) * CHOOSE( CONTROL!$C$15, $D$11, 100%, $F$11)</f>
        <v>20.5305</v>
      </c>
      <c r="H693" s="4">
        <f>CHOOSE( CONTROL!$C$32, 21.4497, 21.4446) * CHOOSE(CONTROL!$C$15, $D$11, 100%, $F$11)</f>
        <v>21.4497</v>
      </c>
      <c r="I693" s="8">
        <f>CHOOSE( CONTROL!$C$32, 20.2388, 20.2337) * CHOOSE(CONTROL!$C$15, $D$11, 100%, $F$11)</f>
        <v>20.238800000000001</v>
      </c>
      <c r="J693" s="4">
        <f>CHOOSE( CONTROL!$C$32, 20.1751, 20.1701) * CHOOSE(CONTROL!$C$15, $D$11, 100%, $F$11)</f>
        <v>20.1751</v>
      </c>
      <c r="K693" s="4"/>
      <c r="L693" s="9">
        <v>29.520499999999998</v>
      </c>
      <c r="M693" s="9">
        <v>12.063700000000001</v>
      </c>
      <c r="N693" s="9">
        <v>4.9444999999999997</v>
      </c>
      <c r="O693" s="9">
        <v>0.37459999999999999</v>
      </c>
      <c r="P693" s="9">
        <v>1.2192000000000001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CONTROL!$C$32, 20.7218, 20.7165) * CHOOSE(CONTROL!$C$15, $D$11, 100%, $F$11)</f>
        <v>20.721800000000002</v>
      </c>
      <c r="C694" s="8">
        <f>CHOOSE( CONTROL!$C$32, 20.7322, 20.7269) * CHOOSE(CONTROL!$C$15, $D$11, 100%, $F$11)</f>
        <v>20.732199999999999</v>
      </c>
      <c r="D694" s="8">
        <f>CHOOSE( CONTROL!$C$32, 20.7526, 20.7474) * CHOOSE( CONTROL!$C$15, $D$11, 100%, $F$11)</f>
        <v>20.752600000000001</v>
      </c>
      <c r="E694" s="12">
        <f>CHOOSE( CONTROL!$C$32, 20.7436, 20.7384) * CHOOSE( CONTROL!$C$15, $D$11, 100%, $F$11)</f>
        <v>20.743600000000001</v>
      </c>
      <c r="F694" s="4">
        <f>CHOOSE( CONTROL!$C$32, 21.7572, 21.7519) * CHOOSE(CONTROL!$C$15, $D$11, 100%, $F$11)</f>
        <v>21.757200000000001</v>
      </c>
      <c r="G694" s="8">
        <f>CHOOSE( CONTROL!$C$32, 20.2044, 20.1993) * CHOOSE( CONTROL!$C$15, $D$11, 100%, $F$11)</f>
        <v>20.2044</v>
      </c>
      <c r="H694" s="4">
        <f>CHOOSE( CONTROL!$C$32, 21.132, 21.1269) * CHOOSE(CONTROL!$C$15, $D$11, 100%, $F$11)</f>
        <v>21.132000000000001</v>
      </c>
      <c r="I694" s="8">
        <f>CHOOSE( CONTROL!$C$32, 19.9195, 19.9145) * CHOOSE(CONTROL!$C$15, $D$11, 100%, $F$11)</f>
        <v>19.919499999999999</v>
      </c>
      <c r="J694" s="4">
        <f>CHOOSE( CONTROL!$C$32, 19.8508, 19.8458) * CHOOSE(CONTROL!$C$15, $D$11, 100%, $F$11)</f>
        <v>19.8508</v>
      </c>
      <c r="K694" s="4"/>
      <c r="L694" s="9">
        <v>28.568200000000001</v>
      </c>
      <c r="M694" s="9">
        <v>11.6745</v>
      </c>
      <c r="N694" s="9">
        <v>4.7850000000000001</v>
      </c>
      <c r="O694" s="9">
        <v>0.36249999999999999</v>
      </c>
      <c r="P694" s="9">
        <v>1.1798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CONTROL!$C$32, 21.613, 21.6077) * CHOOSE(CONTROL!$C$15, $D$11, 100%, $F$11)</f>
        <v>21.613</v>
      </c>
      <c r="C695" s="8">
        <f>CHOOSE( CONTROL!$C$32, 21.6234, 21.6182) * CHOOSE(CONTROL!$C$15, $D$11, 100%, $F$11)</f>
        <v>21.6234</v>
      </c>
      <c r="D695" s="8">
        <f>CHOOSE( CONTROL!$C$32, 21.634, 21.6288) * CHOOSE( CONTROL!$C$15, $D$11, 100%, $F$11)</f>
        <v>21.634</v>
      </c>
      <c r="E695" s="12">
        <f>CHOOSE( CONTROL!$C$32, 21.6286, 21.6234) * CHOOSE( CONTROL!$C$15, $D$11, 100%, $F$11)</f>
        <v>21.628599999999999</v>
      </c>
      <c r="F695" s="4">
        <f>CHOOSE( CONTROL!$C$32, 22.6484, 22.6432) * CHOOSE(CONTROL!$C$15, $D$11, 100%, $F$11)</f>
        <v>22.648399999999999</v>
      </c>
      <c r="G695" s="8">
        <f>CHOOSE( CONTROL!$C$32, 21.0599, 21.0548) * CHOOSE( CONTROL!$C$15, $D$11, 100%, $F$11)</f>
        <v>21.059899999999999</v>
      </c>
      <c r="H695" s="4">
        <f>CHOOSE( CONTROL!$C$32, 22.0008, 21.9957) * CHOOSE(CONTROL!$C$15, $D$11, 100%, $F$11)</f>
        <v>22.000800000000002</v>
      </c>
      <c r="I695" s="8">
        <f>CHOOSE( CONTROL!$C$32, 20.7773, 20.7723) * CHOOSE(CONTROL!$C$15, $D$11, 100%, $F$11)</f>
        <v>20.7773</v>
      </c>
      <c r="J695" s="4">
        <f>CHOOSE( CONTROL!$C$32, 20.7048, 20.6998) * CHOOSE(CONTROL!$C$15, $D$11, 100%, $F$11)</f>
        <v>20.704799999999999</v>
      </c>
      <c r="K695" s="4"/>
      <c r="L695" s="9">
        <v>29.520499999999998</v>
      </c>
      <c r="M695" s="9">
        <v>12.063700000000001</v>
      </c>
      <c r="N695" s="9">
        <v>4.9444999999999997</v>
      </c>
      <c r="O695" s="9">
        <v>0.37459999999999999</v>
      </c>
      <c r="P695" s="9">
        <v>1.2192000000000001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CONTROL!$C$32, 19.9454, 19.9402) * CHOOSE(CONTROL!$C$15, $D$11, 100%, $F$11)</f>
        <v>19.945399999999999</v>
      </c>
      <c r="C696" s="8">
        <f>CHOOSE( CONTROL!$C$32, 19.9559, 19.9506) * CHOOSE(CONTROL!$C$15, $D$11, 100%, $F$11)</f>
        <v>19.9559</v>
      </c>
      <c r="D696" s="8">
        <f>CHOOSE( CONTROL!$C$32, 19.9668, 19.9615) * CHOOSE( CONTROL!$C$15, $D$11, 100%, $F$11)</f>
        <v>19.966799999999999</v>
      </c>
      <c r="E696" s="12">
        <f>CHOOSE( CONTROL!$C$32, 19.9612, 19.956) * CHOOSE( CONTROL!$C$15, $D$11, 100%, $F$11)</f>
        <v>19.961200000000002</v>
      </c>
      <c r="F696" s="4">
        <f>CHOOSE( CONTROL!$C$32, 20.9808, 20.9756) * CHOOSE(CONTROL!$C$15, $D$11, 100%, $F$11)</f>
        <v>20.980799999999999</v>
      </c>
      <c r="G696" s="8">
        <f>CHOOSE( CONTROL!$C$32, 19.4349, 19.4298) * CHOOSE( CONTROL!$C$15, $D$11, 100%, $F$11)</f>
        <v>19.434899999999999</v>
      </c>
      <c r="H696" s="4">
        <f>CHOOSE( CONTROL!$C$32, 20.3753, 20.3702) * CHOOSE(CONTROL!$C$15, $D$11, 100%, $F$11)</f>
        <v>20.375299999999999</v>
      </c>
      <c r="I696" s="8">
        <f>CHOOSE( CONTROL!$C$32, 19.1803, 19.1752) * CHOOSE(CONTROL!$C$15, $D$11, 100%, $F$11)</f>
        <v>19.180299999999999</v>
      </c>
      <c r="J696" s="4">
        <f>CHOOSE( CONTROL!$C$32, 19.1069, 19.1019) * CHOOSE(CONTROL!$C$15, $D$11, 100%, $F$11)</f>
        <v>19.1069</v>
      </c>
      <c r="K696" s="4"/>
      <c r="L696" s="9">
        <v>29.520499999999998</v>
      </c>
      <c r="M696" s="9">
        <v>12.063700000000001</v>
      </c>
      <c r="N696" s="9">
        <v>4.9444999999999997</v>
      </c>
      <c r="O696" s="9">
        <v>0.37459999999999999</v>
      </c>
      <c r="P696" s="9">
        <v>1.2192000000000001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CONTROL!$C$32, 19.5278, 19.5226) * CHOOSE(CONTROL!$C$15, $D$11, 100%, $F$11)</f>
        <v>19.527799999999999</v>
      </c>
      <c r="C697" s="8">
        <f>CHOOSE( CONTROL!$C$32, 19.5383, 19.533) * CHOOSE(CONTROL!$C$15, $D$11, 100%, $F$11)</f>
        <v>19.5383</v>
      </c>
      <c r="D697" s="8">
        <f>CHOOSE( CONTROL!$C$32, 19.5494, 19.5441) * CHOOSE( CONTROL!$C$15, $D$11, 100%, $F$11)</f>
        <v>19.549399999999999</v>
      </c>
      <c r="E697" s="12">
        <f>CHOOSE( CONTROL!$C$32, 19.5438, 19.5385) * CHOOSE( CONTROL!$C$15, $D$11, 100%, $F$11)</f>
        <v>19.543800000000001</v>
      </c>
      <c r="F697" s="4">
        <f>CHOOSE( CONTROL!$C$32, 20.5633, 20.558) * CHOOSE(CONTROL!$C$15, $D$11, 100%, $F$11)</f>
        <v>20.563300000000002</v>
      </c>
      <c r="G697" s="8">
        <f>CHOOSE( CONTROL!$C$32, 19.0281, 19.023) * CHOOSE( CONTROL!$C$15, $D$11, 100%, $F$11)</f>
        <v>19.028099999999998</v>
      </c>
      <c r="H697" s="4">
        <f>CHOOSE( CONTROL!$C$32, 19.9682, 19.9631) * CHOOSE(CONTROL!$C$15, $D$11, 100%, $F$11)</f>
        <v>19.9682</v>
      </c>
      <c r="I697" s="8">
        <f>CHOOSE( CONTROL!$C$32, 18.7806, 18.7756) * CHOOSE(CONTROL!$C$15, $D$11, 100%, $F$11)</f>
        <v>18.7806</v>
      </c>
      <c r="J697" s="4">
        <f>CHOOSE( CONTROL!$C$32, 18.7068, 18.7018) * CHOOSE(CONTROL!$C$15, $D$11, 100%, $F$11)</f>
        <v>18.706800000000001</v>
      </c>
      <c r="K697" s="4"/>
      <c r="L697" s="9">
        <v>28.568200000000001</v>
      </c>
      <c r="M697" s="9">
        <v>11.6745</v>
      </c>
      <c r="N697" s="9">
        <v>4.7850000000000001</v>
      </c>
      <c r="O697" s="9">
        <v>0.36249999999999999</v>
      </c>
      <c r="P697" s="9">
        <v>1.1798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20.3896 * CHOOSE(CONTROL!$C$15, $D$11, 100%, $F$11)</f>
        <v>20.389600000000002</v>
      </c>
      <c r="C698" s="8">
        <f>20.4001 * CHOOSE(CONTROL!$C$15, $D$11, 100%, $F$11)</f>
        <v>20.400099999999998</v>
      </c>
      <c r="D698" s="8">
        <f>20.4124 * CHOOSE( CONTROL!$C$15, $D$11, 100%, $F$11)</f>
        <v>20.412400000000002</v>
      </c>
      <c r="E698" s="12">
        <f>20.4072 * CHOOSE( CONTROL!$C$15, $D$11, 100%, $F$11)</f>
        <v>20.4072</v>
      </c>
      <c r="F698" s="4">
        <f>21.4251 * CHOOSE(CONTROL!$C$15, $D$11, 100%, $F$11)</f>
        <v>21.4251</v>
      </c>
      <c r="G698" s="8">
        <f>19.8675 * CHOOSE( CONTROL!$C$15, $D$11, 100%, $F$11)</f>
        <v>19.8675</v>
      </c>
      <c r="H698" s="4">
        <f>20.8083 * CHOOSE(CONTROL!$C$15, $D$11, 100%, $F$11)</f>
        <v>20.808299999999999</v>
      </c>
      <c r="I698" s="8">
        <f>19.6082 * CHOOSE(CONTROL!$C$15, $D$11, 100%, $F$11)</f>
        <v>19.6082</v>
      </c>
      <c r="J698" s="4">
        <f>19.5326 * CHOOSE(CONTROL!$C$15, $D$11, 100%, $F$11)</f>
        <v>19.532599999999999</v>
      </c>
      <c r="K698" s="4"/>
      <c r="L698" s="9">
        <v>28.921800000000001</v>
      </c>
      <c r="M698" s="9">
        <v>12.063700000000001</v>
      </c>
      <c r="N698" s="9">
        <v>4.9444999999999997</v>
      </c>
      <c r="O698" s="9">
        <v>0.37459999999999999</v>
      </c>
      <c r="P698" s="9">
        <v>1.2192000000000001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21.99 * CHOOSE(CONTROL!$C$15, $D$11, 100%, $F$11)</f>
        <v>21.99</v>
      </c>
      <c r="C699" s="8">
        <f>22.0004 * CHOOSE(CONTROL!$C$15, $D$11, 100%, $F$11)</f>
        <v>22.000399999999999</v>
      </c>
      <c r="D699" s="8">
        <f>21.9842 * CHOOSE( CONTROL!$C$15, $D$11, 100%, $F$11)</f>
        <v>21.984200000000001</v>
      </c>
      <c r="E699" s="12">
        <f>21.989 * CHOOSE( CONTROL!$C$15, $D$11, 100%, $F$11)</f>
        <v>21.989000000000001</v>
      </c>
      <c r="F699" s="4">
        <f>22.9842 * CHOOSE(CONTROL!$C$15, $D$11, 100%, $F$11)</f>
        <v>22.984200000000001</v>
      </c>
      <c r="G699" s="8">
        <f>21.4485 * CHOOSE( CONTROL!$C$15, $D$11, 100%, $F$11)</f>
        <v>21.448499999999999</v>
      </c>
      <c r="H699" s="4">
        <f>22.3281 * CHOOSE(CONTROL!$C$15, $D$11, 100%, $F$11)</f>
        <v>22.328099999999999</v>
      </c>
      <c r="I699" s="8">
        <f>21.1793 * CHOOSE(CONTROL!$C$15, $D$11, 100%, $F$11)</f>
        <v>21.179300000000001</v>
      </c>
      <c r="J699" s="4">
        <f>21.0661 * CHOOSE(CONTROL!$C$15, $D$11, 100%, $F$11)</f>
        <v>21.066099999999999</v>
      </c>
      <c r="K699" s="4"/>
      <c r="L699" s="9">
        <v>26.515499999999999</v>
      </c>
      <c r="M699" s="9">
        <v>11.6745</v>
      </c>
      <c r="N699" s="9">
        <v>4.7850000000000001</v>
      </c>
      <c r="O699" s="9">
        <v>0.36249999999999999</v>
      </c>
      <c r="P699" s="9">
        <v>1.2522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21.95 * CHOOSE(CONTROL!$C$15, $D$11, 100%, $F$11)</f>
        <v>21.95</v>
      </c>
      <c r="C700" s="8">
        <f>21.9605 * CHOOSE(CONTROL!$C$15, $D$11, 100%, $F$11)</f>
        <v>21.9605</v>
      </c>
      <c r="D700" s="8">
        <f>21.9465 * CHOOSE( CONTROL!$C$15, $D$11, 100%, $F$11)</f>
        <v>21.9465</v>
      </c>
      <c r="E700" s="12">
        <f>21.9505 * CHOOSE( CONTROL!$C$15, $D$11, 100%, $F$11)</f>
        <v>21.950500000000002</v>
      </c>
      <c r="F700" s="4">
        <f>22.9442 * CHOOSE(CONTROL!$C$15, $D$11, 100%, $F$11)</f>
        <v>22.944199999999999</v>
      </c>
      <c r="G700" s="8">
        <f>21.4112 * CHOOSE( CONTROL!$C$15, $D$11, 100%, $F$11)</f>
        <v>21.411200000000001</v>
      </c>
      <c r="H700" s="4">
        <f>22.2891 * CHOOSE(CONTROL!$C$15, $D$11, 100%, $F$11)</f>
        <v>22.289100000000001</v>
      </c>
      <c r="I700" s="8">
        <f>21.1486 * CHOOSE(CONTROL!$C$15, $D$11, 100%, $F$11)</f>
        <v>21.148599999999998</v>
      </c>
      <c r="J700" s="4">
        <f>21.0278 * CHOOSE(CONTROL!$C$15, $D$11, 100%, $F$11)</f>
        <v>21.027799999999999</v>
      </c>
      <c r="K700" s="4"/>
      <c r="L700" s="9">
        <v>27.3993</v>
      </c>
      <c r="M700" s="9">
        <v>12.063700000000001</v>
      </c>
      <c r="N700" s="9">
        <v>4.9444999999999997</v>
      </c>
      <c r="O700" s="9">
        <v>0.37459999999999999</v>
      </c>
      <c r="P700" s="9">
        <v>1.2939000000000001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22.7887 * CHOOSE(CONTROL!$C$15, $D$11, 100%, $F$11)</f>
        <v>22.788699999999999</v>
      </c>
      <c r="C701" s="8">
        <f>22.7992 * CHOOSE(CONTROL!$C$15, $D$11, 100%, $F$11)</f>
        <v>22.799199999999999</v>
      </c>
      <c r="D701" s="8">
        <f>22.7985 * CHOOSE( CONTROL!$C$15, $D$11, 100%, $F$11)</f>
        <v>22.798500000000001</v>
      </c>
      <c r="E701" s="12">
        <f>22.7976 * CHOOSE( CONTROL!$C$15, $D$11, 100%, $F$11)</f>
        <v>22.797599999999999</v>
      </c>
      <c r="F701" s="4">
        <f>23.8117 * CHOOSE(CONTROL!$C$15, $D$11, 100%, $F$11)</f>
        <v>23.811699999999998</v>
      </c>
      <c r="G701" s="8">
        <f>22.2424 * CHOOSE( CONTROL!$C$15, $D$11, 100%, $F$11)</f>
        <v>22.2424</v>
      </c>
      <c r="H701" s="4">
        <f>23.1347 * CHOOSE(CONTROL!$C$15, $D$11, 100%, $F$11)</f>
        <v>23.134699999999999</v>
      </c>
      <c r="I701" s="8">
        <f>21.9509 * CHOOSE(CONTROL!$C$15, $D$11, 100%, $F$11)</f>
        <v>21.950900000000001</v>
      </c>
      <c r="J701" s="4">
        <f>21.8314 * CHOOSE(CONTROL!$C$15, $D$11, 100%, $F$11)</f>
        <v>21.831399999999999</v>
      </c>
      <c r="K701" s="4"/>
      <c r="L701" s="9">
        <v>27.3993</v>
      </c>
      <c r="M701" s="9">
        <v>12.063700000000001</v>
      </c>
      <c r="N701" s="9">
        <v>4.9444999999999997</v>
      </c>
      <c r="O701" s="9">
        <v>0.37459999999999999</v>
      </c>
      <c r="P701" s="9">
        <v>1.2939000000000001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21.3158 * CHOOSE(CONTROL!$C$15, $D$11, 100%, $F$11)</f>
        <v>21.315799999999999</v>
      </c>
      <c r="C702" s="8">
        <f>21.3262 * CHOOSE(CONTROL!$C$15, $D$11, 100%, $F$11)</f>
        <v>21.3262</v>
      </c>
      <c r="D702" s="8">
        <f>21.3278 * CHOOSE( CONTROL!$C$15, $D$11, 100%, $F$11)</f>
        <v>21.3278</v>
      </c>
      <c r="E702" s="12">
        <f>21.3261 * CHOOSE( CONTROL!$C$15, $D$11, 100%, $F$11)</f>
        <v>21.3261</v>
      </c>
      <c r="F702" s="4">
        <f>22.3309 * CHOOSE(CONTROL!$C$15, $D$11, 100%, $F$11)</f>
        <v>22.3309</v>
      </c>
      <c r="G702" s="8">
        <f>20.8064 * CHOOSE( CONTROL!$C$15, $D$11, 100%, $F$11)</f>
        <v>20.8064</v>
      </c>
      <c r="H702" s="4">
        <f>21.6913 * CHOOSE(CONTROL!$C$15, $D$11, 100%, $F$11)</f>
        <v>21.691299999999998</v>
      </c>
      <c r="I702" s="8">
        <f>20.5279 * CHOOSE(CONTROL!$C$15, $D$11, 100%, $F$11)</f>
        <v>20.527899999999999</v>
      </c>
      <c r="J702" s="4">
        <f>20.4201 * CHOOSE(CONTROL!$C$15, $D$11, 100%, $F$11)</f>
        <v>20.420100000000001</v>
      </c>
      <c r="K702" s="4"/>
      <c r="L702" s="9">
        <v>24.747800000000002</v>
      </c>
      <c r="M702" s="9">
        <v>10.8962</v>
      </c>
      <c r="N702" s="9">
        <v>4.4660000000000002</v>
      </c>
      <c r="O702" s="9">
        <v>0.33829999999999999</v>
      </c>
      <c r="P702" s="9">
        <v>1.1687000000000001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20.8622 * CHOOSE(CONTROL!$C$15, $D$11, 100%, $F$11)</f>
        <v>20.862200000000001</v>
      </c>
      <c r="C703" s="8">
        <f>20.8726 * CHOOSE(CONTROL!$C$15, $D$11, 100%, $F$11)</f>
        <v>20.872599999999998</v>
      </c>
      <c r="D703" s="8">
        <f>20.8536 * CHOOSE( CONTROL!$C$15, $D$11, 100%, $F$11)</f>
        <v>20.8536</v>
      </c>
      <c r="E703" s="12">
        <f>20.8594 * CHOOSE( CONTROL!$C$15, $D$11, 100%, $F$11)</f>
        <v>20.859400000000001</v>
      </c>
      <c r="F703" s="4">
        <f>21.8611 * CHOOSE(CONTROL!$C$15, $D$11, 100%, $F$11)</f>
        <v>21.8611</v>
      </c>
      <c r="G703" s="8">
        <f>20.3434 * CHOOSE( CONTROL!$C$15, $D$11, 100%, $F$11)</f>
        <v>20.343399999999999</v>
      </c>
      <c r="H703" s="4">
        <f>21.2333 * CHOOSE(CONTROL!$C$15, $D$11, 100%, $F$11)</f>
        <v>21.2333</v>
      </c>
      <c r="I703" s="8">
        <f>20.0535 * CHOOSE(CONTROL!$C$15, $D$11, 100%, $F$11)</f>
        <v>20.0535</v>
      </c>
      <c r="J703" s="4">
        <f>19.9854 * CHOOSE(CONTROL!$C$15, $D$11, 100%, $F$11)</f>
        <v>19.985399999999998</v>
      </c>
      <c r="K703" s="4"/>
      <c r="L703" s="9">
        <v>27.3993</v>
      </c>
      <c r="M703" s="9">
        <v>12.063700000000001</v>
      </c>
      <c r="N703" s="9">
        <v>4.9444999999999997</v>
      </c>
      <c r="O703" s="9">
        <v>0.37459999999999999</v>
      </c>
      <c r="P703" s="9">
        <v>1.2939000000000001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21.1792 * CHOOSE(CONTROL!$C$15, $D$11, 100%, $F$11)</f>
        <v>21.179200000000002</v>
      </c>
      <c r="C704" s="8">
        <f>21.1896 * CHOOSE(CONTROL!$C$15, $D$11, 100%, $F$11)</f>
        <v>21.189599999999999</v>
      </c>
      <c r="D704" s="8">
        <f>21.1936 * CHOOSE( CONTROL!$C$15, $D$11, 100%, $F$11)</f>
        <v>21.1936</v>
      </c>
      <c r="E704" s="12">
        <f>21.1911 * CHOOSE( CONTROL!$C$15, $D$11, 100%, $F$11)</f>
        <v>21.191099999999999</v>
      </c>
      <c r="F704" s="4">
        <f>22.1864 * CHOOSE(CONTROL!$C$15, $D$11, 100%, $F$11)</f>
        <v>22.186399999999999</v>
      </c>
      <c r="G704" s="8">
        <f>20.6408 * CHOOSE( CONTROL!$C$15, $D$11, 100%, $F$11)</f>
        <v>20.640799999999999</v>
      </c>
      <c r="H704" s="4">
        <f>21.5504 * CHOOSE(CONTROL!$C$15, $D$11, 100%, $F$11)</f>
        <v>21.5504</v>
      </c>
      <c r="I704" s="8">
        <f>20.3475 * CHOOSE(CONTROL!$C$15, $D$11, 100%, $F$11)</f>
        <v>20.3475</v>
      </c>
      <c r="J704" s="4">
        <f>20.2891 * CHOOSE(CONTROL!$C$15, $D$11, 100%, $F$11)</f>
        <v>20.289100000000001</v>
      </c>
      <c r="K704" s="4"/>
      <c r="L704" s="9">
        <v>27.988800000000001</v>
      </c>
      <c r="M704" s="9">
        <v>11.6745</v>
      </c>
      <c r="N704" s="9">
        <v>4.7850000000000001</v>
      </c>
      <c r="O704" s="9">
        <v>0.36249999999999999</v>
      </c>
      <c r="P704" s="9">
        <v>1.1798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CONTROL!$C$32, 21.7486, 21.7434) * CHOOSE(CONTROL!$C$15, $D$11, 100%, $F$11)</f>
        <v>21.7486</v>
      </c>
      <c r="C705" s="8">
        <f>CHOOSE( CONTROL!$C$32, 21.7591, 21.7538) * CHOOSE(CONTROL!$C$15, $D$11, 100%, $F$11)</f>
        <v>21.7591</v>
      </c>
      <c r="D705" s="8">
        <f>CHOOSE( CONTROL!$C$32, 21.7719, 21.7666) * CHOOSE( CONTROL!$C$15, $D$11, 100%, $F$11)</f>
        <v>21.771899999999999</v>
      </c>
      <c r="E705" s="12">
        <f>CHOOSE( CONTROL!$C$32, 21.7657, 21.7604) * CHOOSE( CONTROL!$C$15, $D$11, 100%, $F$11)</f>
        <v>21.765699999999999</v>
      </c>
      <c r="F705" s="4">
        <f>CHOOSE( CONTROL!$C$32, 22.7715, 22.7663) * CHOOSE(CONTROL!$C$15, $D$11, 100%, $F$11)</f>
        <v>22.7715</v>
      </c>
      <c r="G705" s="8">
        <f>CHOOSE( CONTROL!$C$32, 21.2015, 21.1964) * CHOOSE( CONTROL!$C$15, $D$11, 100%, $F$11)</f>
        <v>21.201499999999999</v>
      </c>
      <c r="H705" s="4">
        <f>CHOOSE( CONTROL!$C$32, 22.1208, 22.1157) * CHOOSE(CONTROL!$C$15, $D$11, 100%, $F$11)</f>
        <v>22.120799999999999</v>
      </c>
      <c r="I705" s="8">
        <f>CHOOSE( CONTROL!$C$32, 20.8987, 20.8937) * CHOOSE(CONTROL!$C$15, $D$11, 100%, $F$11)</f>
        <v>20.898700000000002</v>
      </c>
      <c r="J705" s="4">
        <f>CHOOSE( CONTROL!$C$32, 20.8348, 20.8297) * CHOOSE(CONTROL!$C$15, $D$11, 100%, $F$11)</f>
        <v>20.834800000000001</v>
      </c>
      <c r="K705" s="4"/>
      <c r="L705" s="9">
        <v>29.520499999999998</v>
      </c>
      <c r="M705" s="9">
        <v>12.063700000000001</v>
      </c>
      <c r="N705" s="9">
        <v>4.9444999999999997</v>
      </c>
      <c r="O705" s="9">
        <v>0.37459999999999999</v>
      </c>
      <c r="P705" s="9">
        <v>1.2192000000000001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CONTROL!$C$32, 21.3991, 21.3939) * CHOOSE(CONTROL!$C$15, $D$11, 100%, $F$11)</f>
        <v>21.399100000000001</v>
      </c>
      <c r="C706" s="8">
        <f>CHOOSE( CONTROL!$C$32, 21.4096, 21.4043) * CHOOSE(CONTROL!$C$15, $D$11, 100%, $F$11)</f>
        <v>21.409600000000001</v>
      </c>
      <c r="D706" s="8">
        <f>CHOOSE( CONTROL!$C$32, 21.43, 21.4247) * CHOOSE( CONTROL!$C$15, $D$11, 100%, $F$11)</f>
        <v>21.43</v>
      </c>
      <c r="E706" s="12">
        <f>CHOOSE( CONTROL!$C$32, 21.421, 21.4157) * CHOOSE( CONTROL!$C$15, $D$11, 100%, $F$11)</f>
        <v>21.420999999999999</v>
      </c>
      <c r="F706" s="4">
        <f>CHOOSE( CONTROL!$C$32, 22.4345, 22.4293) * CHOOSE(CONTROL!$C$15, $D$11, 100%, $F$11)</f>
        <v>22.4345</v>
      </c>
      <c r="G706" s="8">
        <f>CHOOSE( CONTROL!$C$32, 20.8647, 20.8596) * CHOOSE( CONTROL!$C$15, $D$11, 100%, $F$11)</f>
        <v>20.864699999999999</v>
      </c>
      <c r="H706" s="4">
        <f>CHOOSE( CONTROL!$C$32, 21.7923, 21.7872) * CHOOSE(CONTROL!$C$15, $D$11, 100%, $F$11)</f>
        <v>21.792300000000001</v>
      </c>
      <c r="I706" s="8">
        <f>CHOOSE( CONTROL!$C$32, 20.5689, 20.5639) * CHOOSE(CONTROL!$C$15, $D$11, 100%, $F$11)</f>
        <v>20.568899999999999</v>
      </c>
      <c r="J706" s="4">
        <f>CHOOSE( CONTROL!$C$32, 20.4999, 20.4948) * CHOOSE(CONTROL!$C$15, $D$11, 100%, $F$11)</f>
        <v>20.4999</v>
      </c>
      <c r="K706" s="4"/>
      <c r="L706" s="9">
        <v>28.568200000000001</v>
      </c>
      <c r="M706" s="9">
        <v>11.6745</v>
      </c>
      <c r="N706" s="9">
        <v>4.7850000000000001</v>
      </c>
      <c r="O706" s="9">
        <v>0.36249999999999999</v>
      </c>
      <c r="P706" s="9">
        <v>1.1798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CONTROL!$C$32, 22.3195, 22.3142) * CHOOSE(CONTROL!$C$15, $D$11, 100%, $F$11)</f>
        <v>22.319500000000001</v>
      </c>
      <c r="C707" s="8">
        <f>CHOOSE( CONTROL!$C$32, 22.3299, 22.3247) * CHOOSE(CONTROL!$C$15, $D$11, 100%, $F$11)</f>
        <v>22.329899999999999</v>
      </c>
      <c r="D707" s="8">
        <f>CHOOSE( CONTROL!$C$32, 22.3405, 22.3353) * CHOOSE( CONTROL!$C$15, $D$11, 100%, $F$11)</f>
        <v>22.340499999999999</v>
      </c>
      <c r="E707" s="12">
        <f>CHOOSE( CONTROL!$C$32, 22.3351, 22.3299) * CHOOSE( CONTROL!$C$15, $D$11, 100%, $F$11)</f>
        <v>22.335100000000001</v>
      </c>
      <c r="F707" s="4">
        <f>CHOOSE( CONTROL!$C$32, 23.3549, 23.3497) * CHOOSE(CONTROL!$C$15, $D$11, 100%, $F$11)</f>
        <v>23.354900000000001</v>
      </c>
      <c r="G707" s="8">
        <f>CHOOSE( CONTROL!$C$32, 21.7486, 21.7435) * CHOOSE( CONTROL!$C$15, $D$11, 100%, $F$11)</f>
        <v>21.7486</v>
      </c>
      <c r="H707" s="4">
        <f>CHOOSE( CONTROL!$C$32, 22.6895, 22.6843) * CHOOSE(CONTROL!$C$15, $D$11, 100%, $F$11)</f>
        <v>22.689499999999999</v>
      </c>
      <c r="I707" s="8">
        <f>CHOOSE( CONTROL!$C$32, 21.4546, 21.4496) * CHOOSE(CONTROL!$C$15, $D$11, 100%, $F$11)</f>
        <v>21.454599999999999</v>
      </c>
      <c r="J707" s="4">
        <f>CHOOSE( CONTROL!$C$32, 21.3818, 21.3767) * CHOOSE(CONTROL!$C$15, $D$11, 100%, $F$11)</f>
        <v>21.381799999999998</v>
      </c>
      <c r="K707" s="4"/>
      <c r="L707" s="9">
        <v>29.520499999999998</v>
      </c>
      <c r="M707" s="9">
        <v>12.063700000000001</v>
      </c>
      <c r="N707" s="9">
        <v>4.9444999999999997</v>
      </c>
      <c r="O707" s="9">
        <v>0.37459999999999999</v>
      </c>
      <c r="P707" s="9">
        <v>1.2192000000000001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CONTROL!$C$32, 20.5974, 20.5921) * CHOOSE(CONTROL!$C$15, $D$11, 100%, $F$11)</f>
        <v>20.5974</v>
      </c>
      <c r="C708" s="8">
        <f>CHOOSE( CONTROL!$C$32, 20.6078, 20.6026) * CHOOSE(CONTROL!$C$15, $D$11, 100%, $F$11)</f>
        <v>20.607800000000001</v>
      </c>
      <c r="D708" s="8">
        <f>CHOOSE( CONTROL!$C$32, 20.6187, 20.6135) * CHOOSE( CONTROL!$C$15, $D$11, 100%, $F$11)</f>
        <v>20.6187</v>
      </c>
      <c r="E708" s="12">
        <f>CHOOSE( CONTROL!$C$32, 20.6132, 20.6079) * CHOOSE( CONTROL!$C$15, $D$11, 100%, $F$11)</f>
        <v>20.613199999999999</v>
      </c>
      <c r="F708" s="4">
        <f>CHOOSE( CONTROL!$C$32, 21.6328, 21.6275) * CHOOSE(CONTROL!$C$15, $D$11, 100%, $F$11)</f>
        <v>21.6328</v>
      </c>
      <c r="G708" s="8">
        <f>CHOOSE( CONTROL!$C$32, 20.0704, 20.0653) * CHOOSE( CONTROL!$C$15, $D$11, 100%, $F$11)</f>
        <v>20.070399999999999</v>
      </c>
      <c r="H708" s="4">
        <f>CHOOSE( CONTROL!$C$32, 21.0108, 21.0057) * CHOOSE(CONTROL!$C$15, $D$11, 100%, $F$11)</f>
        <v>21.0108</v>
      </c>
      <c r="I708" s="8">
        <f>CHOOSE( CONTROL!$C$32, 19.8053, 19.8002) * CHOOSE(CONTROL!$C$15, $D$11, 100%, $F$11)</f>
        <v>19.805299999999999</v>
      </c>
      <c r="J708" s="4">
        <f>CHOOSE( CONTROL!$C$32, 19.7316, 19.7266) * CHOOSE(CONTROL!$C$15, $D$11, 100%, $F$11)</f>
        <v>19.7316</v>
      </c>
      <c r="K708" s="4"/>
      <c r="L708" s="9">
        <v>29.520499999999998</v>
      </c>
      <c r="M708" s="9">
        <v>12.063700000000001</v>
      </c>
      <c r="N708" s="9">
        <v>4.9444999999999997</v>
      </c>
      <c r="O708" s="9">
        <v>0.37459999999999999</v>
      </c>
      <c r="P708" s="9">
        <v>1.2192000000000001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CONTROL!$C$32, 20.1661, 20.1609) * CHOOSE(CONTROL!$C$15, $D$11, 100%, $F$11)</f>
        <v>20.1661</v>
      </c>
      <c r="C709" s="8">
        <f>CHOOSE( CONTROL!$C$32, 20.1766, 20.1713) * CHOOSE(CONTROL!$C$15, $D$11, 100%, $F$11)</f>
        <v>20.176600000000001</v>
      </c>
      <c r="D709" s="8">
        <f>CHOOSE( CONTROL!$C$32, 20.1877, 20.1824) * CHOOSE( CONTROL!$C$15, $D$11, 100%, $F$11)</f>
        <v>20.1877</v>
      </c>
      <c r="E709" s="12">
        <f>CHOOSE( CONTROL!$C$32, 20.1821, 20.1768) * CHOOSE( CONTROL!$C$15, $D$11, 100%, $F$11)</f>
        <v>20.182099999999998</v>
      </c>
      <c r="F709" s="4">
        <f>CHOOSE( CONTROL!$C$32, 21.2016, 21.1963) * CHOOSE(CONTROL!$C$15, $D$11, 100%, $F$11)</f>
        <v>21.201599999999999</v>
      </c>
      <c r="G709" s="8">
        <f>CHOOSE( CONTROL!$C$32, 19.6503, 19.6452) * CHOOSE( CONTROL!$C$15, $D$11, 100%, $F$11)</f>
        <v>19.650300000000001</v>
      </c>
      <c r="H709" s="4">
        <f>CHOOSE( CONTROL!$C$32, 20.5904, 20.5853) * CHOOSE(CONTROL!$C$15, $D$11, 100%, $F$11)</f>
        <v>20.590399999999999</v>
      </c>
      <c r="I709" s="8">
        <f>CHOOSE( CONTROL!$C$32, 19.3926, 19.3875) * CHOOSE(CONTROL!$C$15, $D$11, 100%, $F$11)</f>
        <v>19.392600000000002</v>
      </c>
      <c r="J709" s="4">
        <f>CHOOSE( CONTROL!$C$32, 19.3184, 19.3134) * CHOOSE(CONTROL!$C$15, $D$11, 100%, $F$11)</f>
        <v>19.3184</v>
      </c>
      <c r="K709" s="4"/>
      <c r="L709" s="9">
        <v>28.568200000000001</v>
      </c>
      <c r="M709" s="9">
        <v>11.6745</v>
      </c>
      <c r="N709" s="9">
        <v>4.7850000000000001</v>
      </c>
      <c r="O709" s="9">
        <v>0.36249999999999999</v>
      </c>
      <c r="P709" s="9">
        <v>1.1798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21.0563 * CHOOSE(CONTROL!$C$15, $D$11, 100%, $F$11)</f>
        <v>21.0563</v>
      </c>
      <c r="C710" s="8">
        <f>21.0667 * CHOOSE(CONTROL!$C$15, $D$11, 100%, $F$11)</f>
        <v>21.066700000000001</v>
      </c>
      <c r="D710" s="8">
        <f>21.0791 * CHOOSE( CONTROL!$C$15, $D$11, 100%, $F$11)</f>
        <v>21.0791</v>
      </c>
      <c r="E710" s="12">
        <f>21.0739 * CHOOSE( CONTROL!$C$15, $D$11, 100%, $F$11)</f>
        <v>21.073899999999998</v>
      </c>
      <c r="F710" s="4">
        <f>22.0917 * CHOOSE(CONTROL!$C$15, $D$11, 100%, $F$11)</f>
        <v>22.091699999999999</v>
      </c>
      <c r="G710" s="8">
        <f>20.5173 * CHOOSE( CONTROL!$C$15, $D$11, 100%, $F$11)</f>
        <v>20.517299999999999</v>
      </c>
      <c r="H710" s="4">
        <f>21.4581 * CHOOSE(CONTROL!$C$15, $D$11, 100%, $F$11)</f>
        <v>21.458100000000002</v>
      </c>
      <c r="I710" s="8">
        <f>20.2473 * CHOOSE(CONTROL!$C$15, $D$11, 100%, $F$11)</f>
        <v>20.247299999999999</v>
      </c>
      <c r="J710" s="4">
        <f>20.1714 * CHOOSE(CONTROL!$C$15, $D$11, 100%, $F$11)</f>
        <v>20.171399999999998</v>
      </c>
      <c r="K710" s="4"/>
      <c r="L710" s="9">
        <v>28.921800000000001</v>
      </c>
      <c r="M710" s="9">
        <v>12.063700000000001</v>
      </c>
      <c r="N710" s="9">
        <v>4.9444999999999997</v>
      </c>
      <c r="O710" s="9">
        <v>0.37459999999999999</v>
      </c>
      <c r="P710" s="9">
        <v>1.2192000000000001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22.709 * CHOOSE(CONTROL!$C$15, $D$11, 100%, $F$11)</f>
        <v>22.709</v>
      </c>
      <c r="C711" s="8">
        <f>22.7194 * CHOOSE(CONTROL!$C$15, $D$11, 100%, $F$11)</f>
        <v>22.7194</v>
      </c>
      <c r="D711" s="8">
        <f>22.7032 * CHOOSE( CONTROL!$C$15, $D$11, 100%, $F$11)</f>
        <v>22.703199999999999</v>
      </c>
      <c r="E711" s="12">
        <f>22.708 * CHOOSE( CONTROL!$C$15, $D$11, 100%, $F$11)</f>
        <v>22.707999999999998</v>
      </c>
      <c r="F711" s="4">
        <f>23.7032 * CHOOSE(CONTROL!$C$15, $D$11, 100%, $F$11)</f>
        <v>23.703199999999999</v>
      </c>
      <c r="G711" s="8">
        <f>22.1493 * CHOOSE( CONTROL!$C$15, $D$11, 100%, $F$11)</f>
        <v>22.1493</v>
      </c>
      <c r="H711" s="4">
        <f>23.029 * CHOOSE(CONTROL!$C$15, $D$11, 100%, $F$11)</f>
        <v>23.029</v>
      </c>
      <c r="I711" s="8">
        <f>21.8686 * CHOOSE(CONTROL!$C$15, $D$11, 100%, $F$11)</f>
        <v>21.868600000000001</v>
      </c>
      <c r="J711" s="4">
        <f>21.755 * CHOOSE(CONTROL!$C$15, $D$11, 100%, $F$11)</f>
        <v>21.754999999999999</v>
      </c>
      <c r="K711" s="4"/>
      <c r="L711" s="9">
        <v>26.515499999999999</v>
      </c>
      <c r="M711" s="9">
        <v>11.6745</v>
      </c>
      <c r="N711" s="9">
        <v>4.7850000000000001</v>
      </c>
      <c r="O711" s="9">
        <v>0.36249999999999999</v>
      </c>
      <c r="P711" s="9">
        <v>1.2522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22.6677 * CHOOSE(CONTROL!$C$15, $D$11, 100%, $F$11)</f>
        <v>22.6677</v>
      </c>
      <c r="C712" s="8">
        <f>22.6781 * CHOOSE(CONTROL!$C$15, $D$11, 100%, $F$11)</f>
        <v>22.678100000000001</v>
      </c>
      <c r="D712" s="8">
        <f>22.6642 * CHOOSE( CONTROL!$C$15, $D$11, 100%, $F$11)</f>
        <v>22.664200000000001</v>
      </c>
      <c r="E712" s="12">
        <f>22.6682 * CHOOSE( CONTROL!$C$15, $D$11, 100%, $F$11)</f>
        <v>22.668199999999999</v>
      </c>
      <c r="F712" s="4">
        <f>23.6619 * CHOOSE(CONTROL!$C$15, $D$11, 100%, $F$11)</f>
        <v>23.661899999999999</v>
      </c>
      <c r="G712" s="8">
        <f>22.1108 * CHOOSE( CONTROL!$C$15, $D$11, 100%, $F$11)</f>
        <v>22.110800000000001</v>
      </c>
      <c r="H712" s="4">
        <f>22.9887 * CHOOSE(CONTROL!$C$15, $D$11, 100%, $F$11)</f>
        <v>22.988700000000001</v>
      </c>
      <c r="I712" s="8">
        <f>21.8366 * CHOOSE(CONTROL!$C$15, $D$11, 100%, $F$11)</f>
        <v>21.836600000000001</v>
      </c>
      <c r="J712" s="4">
        <f>21.7154 * CHOOSE(CONTROL!$C$15, $D$11, 100%, $F$11)</f>
        <v>21.715399999999999</v>
      </c>
      <c r="K712" s="4"/>
      <c r="L712" s="9">
        <v>27.3993</v>
      </c>
      <c r="M712" s="9">
        <v>12.063700000000001</v>
      </c>
      <c r="N712" s="9">
        <v>4.9444999999999997</v>
      </c>
      <c r="O712" s="9">
        <v>0.37459999999999999</v>
      </c>
      <c r="P712" s="9">
        <v>1.2939000000000001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23.5339 * CHOOSE(CONTROL!$C$15, $D$11, 100%, $F$11)</f>
        <v>23.533899999999999</v>
      </c>
      <c r="C713" s="8">
        <f>23.5443 * CHOOSE(CONTROL!$C$15, $D$11, 100%, $F$11)</f>
        <v>23.5443</v>
      </c>
      <c r="D713" s="8">
        <f>23.5436 * CHOOSE( CONTROL!$C$15, $D$11, 100%, $F$11)</f>
        <v>23.543600000000001</v>
      </c>
      <c r="E713" s="12">
        <f>23.5427 * CHOOSE( CONTROL!$C$15, $D$11, 100%, $F$11)</f>
        <v>23.5427</v>
      </c>
      <c r="F713" s="4">
        <f>24.5568 * CHOOSE(CONTROL!$C$15, $D$11, 100%, $F$11)</f>
        <v>24.556799999999999</v>
      </c>
      <c r="G713" s="8">
        <f>22.9687 * CHOOSE( CONTROL!$C$15, $D$11, 100%, $F$11)</f>
        <v>22.968699999999998</v>
      </c>
      <c r="H713" s="4">
        <f>23.861 * CHOOSE(CONTROL!$C$15, $D$11, 100%, $F$11)</f>
        <v>23.861000000000001</v>
      </c>
      <c r="I713" s="8">
        <f>22.6653 * CHOOSE(CONTROL!$C$15, $D$11, 100%, $F$11)</f>
        <v>22.665299999999998</v>
      </c>
      <c r="J713" s="4">
        <f>22.5454 * CHOOSE(CONTROL!$C$15, $D$11, 100%, $F$11)</f>
        <v>22.545400000000001</v>
      </c>
      <c r="K713" s="4"/>
      <c r="L713" s="9">
        <v>27.3993</v>
      </c>
      <c r="M713" s="9">
        <v>12.063700000000001</v>
      </c>
      <c r="N713" s="9">
        <v>4.9444999999999997</v>
      </c>
      <c r="O713" s="9">
        <v>0.37459999999999999</v>
      </c>
      <c r="P713" s="9">
        <v>1.2939000000000001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22.0128 * CHOOSE(CONTROL!$C$15, $D$11, 100%, $F$11)</f>
        <v>22.012799999999999</v>
      </c>
      <c r="C714" s="8">
        <f>22.0232 * CHOOSE(CONTROL!$C$15, $D$11, 100%, $F$11)</f>
        <v>22.023199999999999</v>
      </c>
      <c r="D714" s="8">
        <f>22.0247 * CHOOSE( CONTROL!$C$15, $D$11, 100%, $F$11)</f>
        <v>22.024699999999999</v>
      </c>
      <c r="E714" s="12">
        <f>22.023 * CHOOSE( CONTROL!$C$15, $D$11, 100%, $F$11)</f>
        <v>22.023</v>
      </c>
      <c r="F714" s="4">
        <f>23.0278 * CHOOSE(CONTROL!$C$15, $D$11, 100%, $F$11)</f>
        <v>23.027799999999999</v>
      </c>
      <c r="G714" s="8">
        <f>21.4857 * CHOOSE( CONTROL!$C$15, $D$11, 100%, $F$11)</f>
        <v>21.485700000000001</v>
      </c>
      <c r="H714" s="4">
        <f>22.3706 * CHOOSE(CONTROL!$C$15, $D$11, 100%, $F$11)</f>
        <v>22.3706</v>
      </c>
      <c r="I714" s="8">
        <f>21.1961 * CHOOSE(CONTROL!$C$15, $D$11, 100%, $F$11)</f>
        <v>21.196100000000001</v>
      </c>
      <c r="J714" s="4">
        <f>21.0879 * CHOOSE(CONTROL!$C$15, $D$11, 100%, $F$11)</f>
        <v>21.087900000000001</v>
      </c>
      <c r="K714" s="4"/>
      <c r="L714" s="9">
        <v>24.747800000000002</v>
      </c>
      <c r="M714" s="9">
        <v>10.8962</v>
      </c>
      <c r="N714" s="9">
        <v>4.4660000000000002</v>
      </c>
      <c r="O714" s="9">
        <v>0.33829999999999999</v>
      </c>
      <c r="P714" s="9">
        <v>1.1687000000000001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21.5443 * CHOOSE(CONTROL!$C$15, $D$11, 100%, $F$11)</f>
        <v>21.5443</v>
      </c>
      <c r="C715" s="8">
        <f>21.5547 * CHOOSE(CONTROL!$C$15, $D$11, 100%, $F$11)</f>
        <v>21.5547</v>
      </c>
      <c r="D715" s="8">
        <f>21.5357 * CHOOSE( CONTROL!$C$15, $D$11, 100%, $F$11)</f>
        <v>21.535699999999999</v>
      </c>
      <c r="E715" s="12">
        <f>21.5415 * CHOOSE( CONTROL!$C$15, $D$11, 100%, $F$11)</f>
        <v>21.541499999999999</v>
      </c>
      <c r="F715" s="4">
        <f>22.5432 * CHOOSE(CONTROL!$C$15, $D$11, 100%, $F$11)</f>
        <v>22.543199999999999</v>
      </c>
      <c r="G715" s="8">
        <f>21.0083 * CHOOSE( CONTROL!$C$15, $D$11, 100%, $F$11)</f>
        <v>21.008299999999998</v>
      </c>
      <c r="H715" s="4">
        <f>21.8982 * CHOOSE(CONTROL!$C$15, $D$11, 100%, $F$11)</f>
        <v>21.898199999999999</v>
      </c>
      <c r="I715" s="8">
        <f>20.7074 * CHOOSE(CONTROL!$C$15, $D$11, 100%, $F$11)</f>
        <v>20.7074</v>
      </c>
      <c r="J715" s="4">
        <f>20.639 * CHOOSE(CONTROL!$C$15, $D$11, 100%, $F$11)</f>
        <v>20.638999999999999</v>
      </c>
      <c r="K715" s="4"/>
      <c r="L715" s="9">
        <v>27.3993</v>
      </c>
      <c r="M715" s="9">
        <v>12.063700000000001</v>
      </c>
      <c r="N715" s="9">
        <v>4.9444999999999997</v>
      </c>
      <c r="O715" s="9">
        <v>0.37459999999999999</v>
      </c>
      <c r="P715" s="9">
        <v>1.2939000000000001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21.8716 * CHOOSE(CONTROL!$C$15, $D$11, 100%, $F$11)</f>
        <v>21.871600000000001</v>
      </c>
      <c r="C716" s="8">
        <f>21.8821 * CHOOSE(CONTROL!$C$15, $D$11, 100%, $F$11)</f>
        <v>21.882100000000001</v>
      </c>
      <c r="D716" s="8">
        <f>21.8861 * CHOOSE( CONTROL!$C$15, $D$11, 100%, $F$11)</f>
        <v>21.886099999999999</v>
      </c>
      <c r="E716" s="12">
        <f>21.8836 * CHOOSE( CONTROL!$C$15, $D$11, 100%, $F$11)</f>
        <v>21.883600000000001</v>
      </c>
      <c r="F716" s="4">
        <f>22.8789 * CHOOSE(CONTROL!$C$15, $D$11, 100%, $F$11)</f>
        <v>22.878900000000002</v>
      </c>
      <c r="G716" s="8">
        <f>21.3158 * CHOOSE( CONTROL!$C$15, $D$11, 100%, $F$11)</f>
        <v>21.315799999999999</v>
      </c>
      <c r="H716" s="4">
        <f>22.2254 * CHOOSE(CONTROL!$C$15, $D$11, 100%, $F$11)</f>
        <v>22.2254</v>
      </c>
      <c r="I716" s="8">
        <f>21.0114 * CHOOSE(CONTROL!$C$15, $D$11, 100%, $F$11)</f>
        <v>21.011399999999998</v>
      </c>
      <c r="J716" s="4">
        <f>20.9526 * CHOOSE(CONTROL!$C$15, $D$11, 100%, $F$11)</f>
        <v>20.9526</v>
      </c>
      <c r="K716" s="4"/>
      <c r="L716" s="9">
        <v>27.988800000000001</v>
      </c>
      <c r="M716" s="9">
        <v>11.6745</v>
      </c>
      <c r="N716" s="9">
        <v>4.7850000000000001</v>
      </c>
      <c r="O716" s="9">
        <v>0.36249999999999999</v>
      </c>
      <c r="P716" s="9">
        <v>1.1798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CONTROL!$C$32, 22.4595, 22.4543) * CHOOSE(CONTROL!$C$15, $D$11, 100%, $F$11)</f>
        <v>22.459499999999998</v>
      </c>
      <c r="C717" s="8">
        <f>CHOOSE( CONTROL!$C$32, 22.47, 22.4647) * CHOOSE(CONTROL!$C$15, $D$11, 100%, $F$11)</f>
        <v>22.47</v>
      </c>
      <c r="D717" s="8">
        <f>CHOOSE( CONTROL!$C$32, 22.4828, 22.4776) * CHOOSE( CONTROL!$C$15, $D$11, 100%, $F$11)</f>
        <v>22.482800000000001</v>
      </c>
      <c r="E717" s="12">
        <f>CHOOSE( CONTROL!$C$32, 22.4766, 22.4713) * CHOOSE( CONTROL!$C$15, $D$11, 100%, $F$11)</f>
        <v>22.476600000000001</v>
      </c>
      <c r="F717" s="4">
        <f>CHOOSE( CONTROL!$C$32, 23.4825, 23.4772) * CHOOSE(CONTROL!$C$15, $D$11, 100%, $F$11)</f>
        <v>23.482500000000002</v>
      </c>
      <c r="G717" s="8">
        <f>CHOOSE( CONTROL!$C$32, 21.8945, 21.8894) * CHOOSE( CONTROL!$C$15, $D$11, 100%, $F$11)</f>
        <v>21.894500000000001</v>
      </c>
      <c r="H717" s="4">
        <f>CHOOSE( CONTROL!$C$32, 22.8138, 22.8086) * CHOOSE(CONTROL!$C$15, $D$11, 100%, $F$11)</f>
        <v>22.813800000000001</v>
      </c>
      <c r="I717" s="8">
        <f>CHOOSE( CONTROL!$C$32, 21.5803, 21.5752) * CHOOSE(CONTROL!$C$15, $D$11, 100%, $F$11)</f>
        <v>21.580300000000001</v>
      </c>
      <c r="J717" s="4">
        <f>CHOOSE( CONTROL!$C$32, 21.516, 21.5109) * CHOOSE(CONTROL!$C$15, $D$11, 100%, $F$11)</f>
        <v>21.515999999999998</v>
      </c>
      <c r="K717" s="4"/>
      <c r="L717" s="9">
        <v>29.520499999999998</v>
      </c>
      <c r="M717" s="9">
        <v>12.063700000000001</v>
      </c>
      <c r="N717" s="9">
        <v>4.9444999999999997</v>
      </c>
      <c r="O717" s="9">
        <v>0.37459999999999999</v>
      </c>
      <c r="P717" s="9">
        <v>1.2192000000000001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CONTROL!$C$32, 22.0986, 22.0934) * CHOOSE(CONTROL!$C$15, $D$11, 100%, $F$11)</f>
        <v>22.098600000000001</v>
      </c>
      <c r="C718" s="8">
        <f>CHOOSE( CONTROL!$C$32, 22.109, 22.1038) * CHOOSE(CONTROL!$C$15, $D$11, 100%, $F$11)</f>
        <v>22.109000000000002</v>
      </c>
      <c r="D718" s="8">
        <f>CHOOSE( CONTROL!$C$32, 22.1295, 22.1242) * CHOOSE( CONTROL!$C$15, $D$11, 100%, $F$11)</f>
        <v>22.1295</v>
      </c>
      <c r="E718" s="12">
        <f>CHOOSE( CONTROL!$C$32, 22.1205, 22.1152) * CHOOSE( CONTROL!$C$15, $D$11, 100%, $F$11)</f>
        <v>22.1205</v>
      </c>
      <c r="F718" s="4">
        <f>CHOOSE( CONTROL!$C$32, 23.134, 23.1288) * CHOOSE(CONTROL!$C$15, $D$11, 100%, $F$11)</f>
        <v>23.134</v>
      </c>
      <c r="G718" s="8">
        <f>CHOOSE( CONTROL!$C$32, 21.5465, 21.5414) * CHOOSE( CONTROL!$C$15, $D$11, 100%, $F$11)</f>
        <v>21.546500000000002</v>
      </c>
      <c r="H718" s="4">
        <f>CHOOSE( CONTROL!$C$32, 22.4742, 22.469) * CHOOSE(CONTROL!$C$15, $D$11, 100%, $F$11)</f>
        <v>22.4742</v>
      </c>
      <c r="I718" s="8">
        <f>CHOOSE( CONTROL!$C$32, 21.2395, 21.2345) * CHOOSE(CONTROL!$C$15, $D$11, 100%, $F$11)</f>
        <v>21.2395</v>
      </c>
      <c r="J718" s="4">
        <f>CHOOSE( CONTROL!$C$32, 21.1701, 21.1651) * CHOOSE(CONTROL!$C$15, $D$11, 100%, $F$11)</f>
        <v>21.170100000000001</v>
      </c>
      <c r="K718" s="4"/>
      <c r="L718" s="9">
        <v>28.568200000000001</v>
      </c>
      <c r="M718" s="9">
        <v>11.6745</v>
      </c>
      <c r="N718" s="9">
        <v>4.7850000000000001</v>
      </c>
      <c r="O718" s="9">
        <v>0.36249999999999999</v>
      </c>
      <c r="P718" s="9">
        <v>1.1798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CONTROL!$C$32, 23.0491, 23.0438) * CHOOSE(CONTROL!$C$15, $D$11, 100%, $F$11)</f>
        <v>23.049099999999999</v>
      </c>
      <c r="C719" s="8">
        <f>CHOOSE( CONTROL!$C$32, 23.0595, 23.0543) * CHOOSE(CONTROL!$C$15, $D$11, 100%, $F$11)</f>
        <v>23.0595</v>
      </c>
      <c r="D719" s="8">
        <f>CHOOSE( CONTROL!$C$32, 23.0701, 23.0649) * CHOOSE( CONTROL!$C$15, $D$11, 100%, $F$11)</f>
        <v>23.0701</v>
      </c>
      <c r="E719" s="12">
        <f>CHOOSE( CONTROL!$C$32, 23.0647, 23.0595) * CHOOSE( CONTROL!$C$15, $D$11, 100%, $F$11)</f>
        <v>23.064699999999998</v>
      </c>
      <c r="F719" s="4">
        <f>CHOOSE( CONTROL!$C$32, 24.0845, 24.0793) * CHOOSE(CONTROL!$C$15, $D$11, 100%, $F$11)</f>
        <v>24.084499999999998</v>
      </c>
      <c r="G719" s="8">
        <f>CHOOSE( CONTROL!$C$32, 22.4598, 22.4547) * CHOOSE( CONTROL!$C$15, $D$11, 100%, $F$11)</f>
        <v>22.459800000000001</v>
      </c>
      <c r="H719" s="4">
        <f>CHOOSE( CONTROL!$C$32, 23.4006, 23.3955) * CHOOSE(CONTROL!$C$15, $D$11, 100%, $F$11)</f>
        <v>23.400600000000001</v>
      </c>
      <c r="I719" s="8">
        <f>CHOOSE( CONTROL!$C$32, 22.1541, 22.149) * CHOOSE(CONTROL!$C$15, $D$11, 100%, $F$11)</f>
        <v>22.1541</v>
      </c>
      <c r="J719" s="4">
        <f>CHOOSE( CONTROL!$C$32, 22.0809, 22.0758) * CHOOSE(CONTROL!$C$15, $D$11, 100%, $F$11)</f>
        <v>22.0809</v>
      </c>
      <c r="K719" s="4"/>
      <c r="L719" s="9">
        <v>29.520499999999998</v>
      </c>
      <c r="M719" s="9">
        <v>12.063700000000001</v>
      </c>
      <c r="N719" s="9">
        <v>4.9444999999999997</v>
      </c>
      <c r="O719" s="9">
        <v>0.37459999999999999</v>
      </c>
      <c r="P719" s="9">
        <v>1.2192000000000001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CONTROL!$C$32, 21.2706, 21.2654) * CHOOSE(CONTROL!$C$15, $D$11, 100%, $F$11)</f>
        <v>21.270600000000002</v>
      </c>
      <c r="C720" s="8">
        <f>CHOOSE( CONTROL!$C$32, 21.2811, 21.2758) * CHOOSE(CONTROL!$C$15, $D$11, 100%, $F$11)</f>
        <v>21.281099999999999</v>
      </c>
      <c r="D720" s="8">
        <f>CHOOSE( CONTROL!$C$32, 21.292, 21.2868) * CHOOSE( CONTROL!$C$15, $D$11, 100%, $F$11)</f>
        <v>21.292000000000002</v>
      </c>
      <c r="E720" s="12">
        <f>CHOOSE( CONTROL!$C$32, 21.2864, 21.2812) * CHOOSE( CONTROL!$C$15, $D$11, 100%, $F$11)</f>
        <v>21.2864</v>
      </c>
      <c r="F720" s="4">
        <f>CHOOSE( CONTROL!$C$32, 22.3061, 22.3008) * CHOOSE(CONTROL!$C$15, $D$11, 100%, $F$11)</f>
        <v>22.306100000000001</v>
      </c>
      <c r="G720" s="8">
        <f>CHOOSE( CONTROL!$C$32, 20.7267, 20.7216) * CHOOSE( CONTROL!$C$15, $D$11, 100%, $F$11)</f>
        <v>20.726700000000001</v>
      </c>
      <c r="H720" s="4">
        <f>CHOOSE( CONTROL!$C$32, 21.6671, 21.662) * CHOOSE(CONTROL!$C$15, $D$11, 100%, $F$11)</f>
        <v>21.667100000000001</v>
      </c>
      <c r="I720" s="8">
        <f>CHOOSE( CONTROL!$C$32, 20.4507, 20.4457) * CHOOSE(CONTROL!$C$15, $D$11, 100%, $F$11)</f>
        <v>20.450700000000001</v>
      </c>
      <c r="J720" s="4">
        <f>CHOOSE( CONTROL!$C$32, 20.3768, 20.3717) * CHOOSE(CONTROL!$C$15, $D$11, 100%, $F$11)</f>
        <v>20.376799999999999</v>
      </c>
      <c r="K720" s="4"/>
      <c r="L720" s="9">
        <v>29.520499999999998</v>
      </c>
      <c r="M720" s="9">
        <v>12.063700000000001</v>
      </c>
      <c r="N720" s="9">
        <v>4.9444999999999997</v>
      </c>
      <c r="O720" s="9">
        <v>0.37459999999999999</v>
      </c>
      <c r="P720" s="9">
        <v>1.2192000000000001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CONTROL!$C$32, 20.8253, 20.8201) * CHOOSE(CONTROL!$C$15, $D$11, 100%, $F$11)</f>
        <v>20.825299999999999</v>
      </c>
      <c r="C721" s="8">
        <f>CHOOSE( CONTROL!$C$32, 20.8357, 20.8305) * CHOOSE(CONTROL!$C$15, $D$11, 100%, $F$11)</f>
        <v>20.835699999999999</v>
      </c>
      <c r="D721" s="8">
        <f>CHOOSE( CONTROL!$C$32, 20.8468, 20.8416) * CHOOSE( CONTROL!$C$15, $D$11, 100%, $F$11)</f>
        <v>20.846800000000002</v>
      </c>
      <c r="E721" s="12">
        <f>CHOOSE( CONTROL!$C$32, 20.8412, 20.836) * CHOOSE( CONTROL!$C$15, $D$11, 100%, $F$11)</f>
        <v>20.841200000000001</v>
      </c>
      <c r="F721" s="4">
        <f>CHOOSE( CONTROL!$C$32, 21.8607, 21.8555) * CHOOSE(CONTROL!$C$15, $D$11, 100%, $F$11)</f>
        <v>21.860700000000001</v>
      </c>
      <c r="G721" s="8">
        <f>CHOOSE( CONTROL!$C$32, 20.2928, 20.2877) * CHOOSE( CONTROL!$C$15, $D$11, 100%, $F$11)</f>
        <v>20.2928</v>
      </c>
      <c r="H721" s="4">
        <f>CHOOSE( CONTROL!$C$32, 21.233, 21.2279) * CHOOSE(CONTROL!$C$15, $D$11, 100%, $F$11)</f>
        <v>21.233000000000001</v>
      </c>
      <c r="I721" s="8">
        <f>CHOOSE( CONTROL!$C$32, 20.0245, 20.0195) * CHOOSE(CONTROL!$C$15, $D$11, 100%, $F$11)</f>
        <v>20.0245</v>
      </c>
      <c r="J721" s="4">
        <f>CHOOSE( CONTROL!$C$32, 19.9501, 19.945) * CHOOSE(CONTROL!$C$15, $D$11, 100%, $F$11)</f>
        <v>19.950099999999999</v>
      </c>
      <c r="K721" s="4"/>
      <c r="L721" s="9">
        <v>28.568200000000001</v>
      </c>
      <c r="M721" s="9">
        <v>11.6745</v>
      </c>
      <c r="N721" s="9">
        <v>4.7850000000000001</v>
      </c>
      <c r="O721" s="9">
        <v>0.36249999999999999</v>
      </c>
      <c r="P721" s="9">
        <v>1.1798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21.7447 * CHOOSE(CONTROL!$C$15, $D$11, 100%, $F$11)</f>
        <v>21.744700000000002</v>
      </c>
      <c r="C722" s="8">
        <f>21.7552 * CHOOSE(CONTROL!$C$15, $D$11, 100%, $F$11)</f>
        <v>21.755199999999999</v>
      </c>
      <c r="D722" s="8">
        <f>21.7675 * CHOOSE( CONTROL!$C$15, $D$11, 100%, $F$11)</f>
        <v>21.767499999999998</v>
      </c>
      <c r="E722" s="12">
        <f>21.7623 * CHOOSE( CONTROL!$C$15, $D$11, 100%, $F$11)</f>
        <v>21.7623</v>
      </c>
      <c r="F722" s="4">
        <f>22.7802 * CHOOSE(CONTROL!$C$15, $D$11, 100%, $F$11)</f>
        <v>22.780200000000001</v>
      </c>
      <c r="G722" s="8">
        <f>21.1884 * CHOOSE( CONTROL!$C$15, $D$11, 100%, $F$11)</f>
        <v>21.188400000000001</v>
      </c>
      <c r="H722" s="4">
        <f>22.1292 * CHOOSE(CONTROL!$C$15, $D$11, 100%, $F$11)</f>
        <v>22.129200000000001</v>
      </c>
      <c r="I722" s="8">
        <f>20.9073 * CHOOSE(CONTROL!$C$15, $D$11, 100%, $F$11)</f>
        <v>20.907299999999999</v>
      </c>
      <c r="J722" s="4">
        <f>20.831 * CHOOSE(CONTROL!$C$15, $D$11, 100%, $F$11)</f>
        <v>20.831</v>
      </c>
      <c r="K722" s="4"/>
      <c r="L722" s="9">
        <v>28.921800000000001</v>
      </c>
      <c r="M722" s="9">
        <v>12.063700000000001</v>
      </c>
      <c r="N722" s="9">
        <v>4.9444999999999997</v>
      </c>
      <c r="O722" s="9">
        <v>0.37459999999999999</v>
      </c>
      <c r="P722" s="9">
        <v>1.2192000000000001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23.4515 * CHOOSE(CONTROL!$C$15, $D$11, 100%, $F$11)</f>
        <v>23.451499999999999</v>
      </c>
      <c r="C723" s="8">
        <f>23.4619 * CHOOSE(CONTROL!$C$15, $D$11, 100%, $F$11)</f>
        <v>23.4619</v>
      </c>
      <c r="D723" s="8">
        <f>23.4457 * CHOOSE( CONTROL!$C$15, $D$11, 100%, $F$11)</f>
        <v>23.445699999999999</v>
      </c>
      <c r="E723" s="12">
        <f>23.4505 * CHOOSE( CONTROL!$C$15, $D$11, 100%, $F$11)</f>
        <v>23.450500000000002</v>
      </c>
      <c r="F723" s="4">
        <f>24.4457 * CHOOSE(CONTROL!$C$15, $D$11, 100%, $F$11)</f>
        <v>24.445699999999999</v>
      </c>
      <c r="G723" s="8">
        <f>22.8731 * CHOOSE( CONTROL!$C$15, $D$11, 100%, $F$11)</f>
        <v>22.873100000000001</v>
      </c>
      <c r="H723" s="4">
        <f>23.7527 * CHOOSE(CONTROL!$C$15, $D$11, 100%, $F$11)</f>
        <v>23.752700000000001</v>
      </c>
      <c r="I723" s="8">
        <f>22.5804 * CHOOSE(CONTROL!$C$15, $D$11, 100%, $F$11)</f>
        <v>22.580400000000001</v>
      </c>
      <c r="J723" s="4">
        <f>22.4665 * CHOOSE(CONTROL!$C$15, $D$11, 100%, $F$11)</f>
        <v>22.4665</v>
      </c>
      <c r="K723" s="4"/>
      <c r="L723" s="9">
        <v>26.515499999999999</v>
      </c>
      <c r="M723" s="9">
        <v>11.6745</v>
      </c>
      <c r="N723" s="9">
        <v>4.7850000000000001</v>
      </c>
      <c r="O723" s="9">
        <v>0.36249999999999999</v>
      </c>
      <c r="P723" s="9">
        <v>1.2522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23.4089 * CHOOSE(CONTROL!$C$15, $D$11, 100%, $F$11)</f>
        <v>23.408899999999999</v>
      </c>
      <c r="C724" s="8">
        <f>23.4193 * CHOOSE(CONTROL!$C$15, $D$11, 100%, $F$11)</f>
        <v>23.4193</v>
      </c>
      <c r="D724" s="8">
        <f>23.4053 * CHOOSE( CONTROL!$C$15, $D$11, 100%, $F$11)</f>
        <v>23.4053</v>
      </c>
      <c r="E724" s="12">
        <f>23.4093 * CHOOSE( CONTROL!$C$15, $D$11, 100%, $F$11)</f>
        <v>23.409300000000002</v>
      </c>
      <c r="F724" s="4">
        <f>24.4031 * CHOOSE(CONTROL!$C$15, $D$11, 100%, $F$11)</f>
        <v>24.403099999999998</v>
      </c>
      <c r="G724" s="8">
        <f>22.8333 * CHOOSE( CONTROL!$C$15, $D$11, 100%, $F$11)</f>
        <v>22.833300000000001</v>
      </c>
      <c r="H724" s="4">
        <f>23.7112 * CHOOSE(CONTROL!$C$15, $D$11, 100%, $F$11)</f>
        <v>23.711200000000002</v>
      </c>
      <c r="I724" s="8">
        <f>22.5471 * CHOOSE(CONTROL!$C$15, $D$11, 100%, $F$11)</f>
        <v>22.5471</v>
      </c>
      <c r="J724" s="4">
        <f>22.4256 * CHOOSE(CONTROL!$C$15, $D$11, 100%, $F$11)</f>
        <v>22.425599999999999</v>
      </c>
      <c r="K724" s="4"/>
      <c r="L724" s="9">
        <v>27.3993</v>
      </c>
      <c r="M724" s="9">
        <v>12.063700000000001</v>
      </c>
      <c r="N724" s="9">
        <v>4.9444999999999997</v>
      </c>
      <c r="O724" s="9">
        <v>0.37459999999999999</v>
      </c>
      <c r="P724" s="9">
        <v>1.2939000000000001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24.3033 * CHOOSE(CONTROL!$C$15, $D$11, 100%, $F$11)</f>
        <v>24.3033</v>
      </c>
      <c r="C725" s="8">
        <f>24.3138 * CHOOSE(CONTROL!$C$15, $D$11, 100%, $F$11)</f>
        <v>24.313800000000001</v>
      </c>
      <c r="D725" s="8">
        <f>24.3131 * CHOOSE( CONTROL!$C$15, $D$11, 100%, $F$11)</f>
        <v>24.313099999999999</v>
      </c>
      <c r="E725" s="12">
        <f>24.3122 * CHOOSE( CONTROL!$C$15, $D$11, 100%, $F$11)</f>
        <v>24.312200000000001</v>
      </c>
      <c r="F725" s="4">
        <f>25.3262 * CHOOSE(CONTROL!$C$15, $D$11, 100%, $F$11)</f>
        <v>25.3262</v>
      </c>
      <c r="G725" s="8">
        <f>23.7188 * CHOOSE( CONTROL!$C$15, $D$11, 100%, $F$11)</f>
        <v>23.718800000000002</v>
      </c>
      <c r="H725" s="4">
        <f>24.6111 * CHOOSE(CONTROL!$C$15, $D$11, 100%, $F$11)</f>
        <v>24.6111</v>
      </c>
      <c r="I725" s="8">
        <f>23.4029 * CHOOSE(CONTROL!$C$15, $D$11, 100%, $F$11)</f>
        <v>23.402899999999999</v>
      </c>
      <c r="J725" s="4">
        <f>23.2827 * CHOOSE(CONTROL!$C$15, $D$11, 100%, $F$11)</f>
        <v>23.282699999999998</v>
      </c>
      <c r="K725" s="4"/>
      <c r="L725" s="9">
        <v>27.3993</v>
      </c>
      <c r="M725" s="9">
        <v>12.063700000000001</v>
      </c>
      <c r="N725" s="9">
        <v>4.9444999999999997</v>
      </c>
      <c r="O725" s="9">
        <v>0.37459999999999999</v>
      </c>
      <c r="P725" s="9">
        <v>1.2939000000000001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22.7325 * CHOOSE(CONTROL!$C$15, $D$11, 100%, $F$11)</f>
        <v>22.732500000000002</v>
      </c>
      <c r="C726" s="8">
        <f>22.7429 * CHOOSE(CONTROL!$C$15, $D$11, 100%, $F$11)</f>
        <v>22.742899999999999</v>
      </c>
      <c r="D726" s="8">
        <f>22.7444 * CHOOSE( CONTROL!$C$15, $D$11, 100%, $F$11)</f>
        <v>22.744399999999999</v>
      </c>
      <c r="E726" s="12">
        <f>22.7427 * CHOOSE( CONTROL!$C$15, $D$11, 100%, $F$11)</f>
        <v>22.742699999999999</v>
      </c>
      <c r="F726" s="4">
        <f>23.7476 * CHOOSE(CONTROL!$C$15, $D$11, 100%, $F$11)</f>
        <v>23.747599999999998</v>
      </c>
      <c r="G726" s="8">
        <f>22.1873 * CHOOSE( CONTROL!$C$15, $D$11, 100%, $F$11)</f>
        <v>22.1873</v>
      </c>
      <c r="H726" s="4">
        <f>23.0722 * CHOOSE(CONTROL!$C$15, $D$11, 100%, $F$11)</f>
        <v>23.072199999999999</v>
      </c>
      <c r="I726" s="8">
        <f>21.8861 * CHOOSE(CONTROL!$C$15, $D$11, 100%, $F$11)</f>
        <v>21.886099999999999</v>
      </c>
      <c r="J726" s="4">
        <f>21.7775 * CHOOSE(CONTROL!$C$15, $D$11, 100%, $F$11)</f>
        <v>21.7775</v>
      </c>
      <c r="K726" s="4"/>
      <c r="L726" s="9">
        <v>24.747800000000002</v>
      </c>
      <c r="M726" s="9">
        <v>10.8962</v>
      </c>
      <c r="N726" s="9">
        <v>4.4660000000000002</v>
      </c>
      <c r="O726" s="9">
        <v>0.33829999999999999</v>
      </c>
      <c r="P726" s="9">
        <v>1.1687000000000001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22.2487 * CHOOSE(CONTROL!$C$15, $D$11, 100%, $F$11)</f>
        <v>22.248699999999999</v>
      </c>
      <c r="C727" s="8">
        <f>22.2591 * CHOOSE(CONTROL!$C$15, $D$11, 100%, $F$11)</f>
        <v>22.2591</v>
      </c>
      <c r="D727" s="8">
        <f>22.2401 * CHOOSE( CONTROL!$C$15, $D$11, 100%, $F$11)</f>
        <v>22.240100000000002</v>
      </c>
      <c r="E727" s="12">
        <f>22.2459 * CHOOSE( CONTROL!$C$15, $D$11, 100%, $F$11)</f>
        <v>22.245899999999999</v>
      </c>
      <c r="F727" s="4">
        <f>23.2476 * CHOOSE(CONTROL!$C$15, $D$11, 100%, $F$11)</f>
        <v>23.247599999999998</v>
      </c>
      <c r="G727" s="8">
        <f>21.695 * CHOOSE( CONTROL!$C$15, $D$11, 100%, $F$11)</f>
        <v>21.695</v>
      </c>
      <c r="H727" s="4">
        <f>22.5848 * CHOOSE(CONTROL!$C$15, $D$11, 100%, $F$11)</f>
        <v>22.584800000000001</v>
      </c>
      <c r="I727" s="8">
        <f>21.3827 * CHOOSE(CONTROL!$C$15, $D$11, 100%, $F$11)</f>
        <v>21.3827</v>
      </c>
      <c r="J727" s="4">
        <f>21.3139 * CHOOSE(CONTROL!$C$15, $D$11, 100%, $F$11)</f>
        <v>21.3139</v>
      </c>
      <c r="K727" s="4"/>
      <c r="L727" s="9">
        <v>27.3993</v>
      </c>
      <c r="M727" s="9">
        <v>12.063700000000001</v>
      </c>
      <c r="N727" s="9">
        <v>4.9444999999999997</v>
      </c>
      <c r="O727" s="9">
        <v>0.37459999999999999</v>
      </c>
      <c r="P727" s="9">
        <v>1.2939000000000001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22.5868 * CHOOSE(CONTROL!$C$15, $D$11, 100%, $F$11)</f>
        <v>22.5868</v>
      </c>
      <c r="C728" s="8">
        <f>22.5972 * CHOOSE(CONTROL!$C$15, $D$11, 100%, $F$11)</f>
        <v>22.597200000000001</v>
      </c>
      <c r="D728" s="8">
        <f>22.6012 * CHOOSE( CONTROL!$C$15, $D$11, 100%, $F$11)</f>
        <v>22.601199999999999</v>
      </c>
      <c r="E728" s="12">
        <f>22.5987 * CHOOSE( CONTROL!$C$15, $D$11, 100%, $F$11)</f>
        <v>22.598700000000001</v>
      </c>
      <c r="F728" s="4">
        <f>23.594 * CHOOSE(CONTROL!$C$15, $D$11, 100%, $F$11)</f>
        <v>23.594000000000001</v>
      </c>
      <c r="G728" s="8">
        <f>22.0129 * CHOOSE( CONTROL!$C$15, $D$11, 100%, $F$11)</f>
        <v>22.012899999999998</v>
      </c>
      <c r="H728" s="4">
        <f>22.9225 * CHOOSE(CONTROL!$C$15, $D$11, 100%, $F$11)</f>
        <v>22.922499999999999</v>
      </c>
      <c r="I728" s="8">
        <f>21.6969 * CHOOSE(CONTROL!$C$15, $D$11, 100%, $F$11)</f>
        <v>21.696899999999999</v>
      </c>
      <c r="J728" s="4">
        <f>21.6379 * CHOOSE(CONTROL!$C$15, $D$11, 100%, $F$11)</f>
        <v>21.637899999999998</v>
      </c>
      <c r="K728" s="4"/>
      <c r="L728" s="9">
        <v>27.988800000000001</v>
      </c>
      <c r="M728" s="9">
        <v>11.6745</v>
      </c>
      <c r="N728" s="9">
        <v>4.7850000000000001</v>
      </c>
      <c r="O728" s="9">
        <v>0.36249999999999999</v>
      </c>
      <c r="P728" s="9">
        <v>1.1798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CONTROL!$C$32, 23.1937, 23.1885) * CHOOSE(CONTROL!$C$15, $D$11, 100%, $F$11)</f>
        <v>23.1937</v>
      </c>
      <c r="C729" s="8">
        <f>CHOOSE( CONTROL!$C$32, 23.2042, 23.1989) * CHOOSE(CONTROL!$C$15, $D$11, 100%, $F$11)</f>
        <v>23.2042</v>
      </c>
      <c r="D729" s="8">
        <f>CHOOSE( CONTROL!$C$32, 23.217, 23.2117) * CHOOSE( CONTROL!$C$15, $D$11, 100%, $F$11)</f>
        <v>23.216999999999999</v>
      </c>
      <c r="E729" s="12">
        <f>CHOOSE( CONTROL!$C$32, 23.2108, 23.2055) * CHOOSE( CONTROL!$C$15, $D$11, 100%, $F$11)</f>
        <v>23.210799999999999</v>
      </c>
      <c r="F729" s="4">
        <f>CHOOSE( CONTROL!$C$32, 24.2166, 24.2114) * CHOOSE(CONTROL!$C$15, $D$11, 100%, $F$11)</f>
        <v>24.2166</v>
      </c>
      <c r="G729" s="8">
        <f>CHOOSE( CONTROL!$C$32, 22.6102, 22.605) * CHOOSE( CONTROL!$C$15, $D$11, 100%, $F$11)</f>
        <v>22.610199999999999</v>
      </c>
      <c r="H729" s="4">
        <f>CHOOSE( CONTROL!$C$32, 23.5294, 23.5243) * CHOOSE(CONTROL!$C$15, $D$11, 100%, $F$11)</f>
        <v>23.529399999999999</v>
      </c>
      <c r="I729" s="8">
        <f>CHOOSE( CONTROL!$C$32, 22.2841, 22.2791) * CHOOSE(CONTROL!$C$15, $D$11, 100%, $F$11)</f>
        <v>22.284099999999999</v>
      </c>
      <c r="J729" s="4">
        <f>CHOOSE( CONTROL!$C$32, 22.2195, 22.2144) * CHOOSE(CONTROL!$C$15, $D$11, 100%, $F$11)</f>
        <v>22.2195</v>
      </c>
      <c r="K729" s="4"/>
      <c r="L729" s="9">
        <v>29.520499999999998</v>
      </c>
      <c r="M729" s="9">
        <v>12.063700000000001</v>
      </c>
      <c r="N729" s="9">
        <v>4.9444999999999997</v>
      </c>
      <c r="O729" s="9">
        <v>0.37459999999999999</v>
      </c>
      <c r="P729" s="9">
        <v>1.2192000000000001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CONTROL!$C$32, 22.821, 22.8157) * CHOOSE(CONTROL!$C$15, $D$11, 100%, $F$11)</f>
        <v>22.821000000000002</v>
      </c>
      <c r="C730" s="8">
        <f>CHOOSE( CONTROL!$C$32, 22.8314, 22.8262) * CHOOSE(CONTROL!$C$15, $D$11, 100%, $F$11)</f>
        <v>22.831399999999999</v>
      </c>
      <c r="D730" s="8">
        <f>CHOOSE( CONTROL!$C$32, 22.8519, 22.8466) * CHOOSE( CONTROL!$C$15, $D$11, 100%, $F$11)</f>
        <v>22.851900000000001</v>
      </c>
      <c r="E730" s="12">
        <f>CHOOSE( CONTROL!$C$32, 22.8429, 22.8376) * CHOOSE( CONTROL!$C$15, $D$11, 100%, $F$11)</f>
        <v>22.8429</v>
      </c>
      <c r="F730" s="4">
        <f>CHOOSE( CONTROL!$C$32, 23.8564, 23.8512) * CHOOSE(CONTROL!$C$15, $D$11, 100%, $F$11)</f>
        <v>23.856400000000001</v>
      </c>
      <c r="G730" s="8">
        <f>CHOOSE( CONTROL!$C$32, 22.2507, 22.2456) * CHOOSE( CONTROL!$C$15, $D$11, 100%, $F$11)</f>
        <v>22.250699999999998</v>
      </c>
      <c r="H730" s="4">
        <f>CHOOSE( CONTROL!$C$32, 23.1783, 23.1732) * CHOOSE(CONTROL!$C$15, $D$11, 100%, $F$11)</f>
        <v>23.1783</v>
      </c>
      <c r="I730" s="8">
        <f>CHOOSE( CONTROL!$C$32, 21.932, 21.927) * CHOOSE(CONTROL!$C$15, $D$11, 100%, $F$11)</f>
        <v>21.931999999999999</v>
      </c>
      <c r="J730" s="4">
        <f>CHOOSE( CONTROL!$C$32, 21.8623, 21.8573) * CHOOSE(CONTROL!$C$15, $D$11, 100%, $F$11)</f>
        <v>21.862300000000001</v>
      </c>
      <c r="K730" s="4"/>
      <c r="L730" s="9">
        <v>28.568200000000001</v>
      </c>
      <c r="M730" s="9">
        <v>11.6745</v>
      </c>
      <c r="N730" s="9">
        <v>4.7850000000000001</v>
      </c>
      <c r="O730" s="9">
        <v>0.36249999999999999</v>
      </c>
      <c r="P730" s="9">
        <v>1.1798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CONTROL!$C$32, 23.8025, 23.7973) * CHOOSE(CONTROL!$C$15, $D$11, 100%, $F$11)</f>
        <v>23.802499999999998</v>
      </c>
      <c r="C731" s="8">
        <f>CHOOSE( CONTROL!$C$32, 23.813, 23.8077) * CHOOSE(CONTROL!$C$15, $D$11, 100%, $F$11)</f>
        <v>23.812999999999999</v>
      </c>
      <c r="D731" s="8">
        <f>CHOOSE( CONTROL!$C$32, 23.8236, 23.8183) * CHOOSE( CONTROL!$C$15, $D$11, 100%, $F$11)</f>
        <v>23.823599999999999</v>
      </c>
      <c r="E731" s="12">
        <f>CHOOSE( CONTROL!$C$32, 23.8182, 23.8129) * CHOOSE( CONTROL!$C$15, $D$11, 100%, $F$11)</f>
        <v>23.818200000000001</v>
      </c>
      <c r="F731" s="4">
        <f>CHOOSE( CONTROL!$C$32, 24.838, 24.8327) * CHOOSE(CONTROL!$C$15, $D$11, 100%, $F$11)</f>
        <v>24.838000000000001</v>
      </c>
      <c r="G731" s="8">
        <f>CHOOSE( CONTROL!$C$32, 23.1942, 23.1891) * CHOOSE( CONTROL!$C$15, $D$11, 100%, $F$11)</f>
        <v>23.194199999999999</v>
      </c>
      <c r="H731" s="4">
        <f>CHOOSE( CONTROL!$C$32, 24.1351, 24.13) * CHOOSE(CONTROL!$C$15, $D$11, 100%, $F$11)</f>
        <v>24.135100000000001</v>
      </c>
      <c r="I731" s="8">
        <f>CHOOSE( CONTROL!$C$32, 22.8764, 22.8714) * CHOOSE(CONTROL!$C$15, $D$11, 100%, $F$11)</f>
        <v>22.8764</v>
      </c>
      <c r="J731" s="4">
        <f>CHOOSE( CONTROL!$C$32, 22.8028, 22.7978) * CHOOSE(CONTROL!$C$15, $D$11, 100%, $F$11)</f>
        <v>22.802800000000001</v>
      </c>
      <c r="K731" s="4"/>
      <c r="L731" s="9">
        <v>29.520499999999998</v>
      </c>
      <c r="M731" s="9">
        <v>12.063700000000001</v>
      </c>
      <c r="N731" s="9">
        <v>4.9444999999999997</v>
      </c>
      <c r="O731" s="9">
        <v>0.37459999999999999</v>
      </c>
      <c r="P731" s="9">
        <v>1.2192000000000001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CONTROL!$C$32, 21.9659, 21.9607) * CHOOSE(CONTROL!$C$15, $D$11, 100%, $F$11)</f>
        <v>21.965900000000001</v>
      </c>
      <c r="C732" s="8">
        <f>CHOOSE( CONTROL!$C$32, 21.9764, 21.9711) * CHOOSE(CONTROL!$C$15, $D$11, 100%, $F$11)</f>
        <v>21.976400000000002</v>
      </c>
      <c r="D732" s="8">
        <f>CHOOSE( CONTROL!$C$32, 21.9873, 21.9821) * CHOOSE( CONTROL!$C$15, $D$11, 100%, $F$11)</f>
        <v>21.987300000000001</v>
      </c>
      <c r="E732" s="12">
        <f>CHOOSE( CONTROL!$C$32, 21.9817, 21.9765) * CHOOSE( CONTROL!$C$15, $D$11, 100%, $F$11)</f>
        <v>21.9817</v>
      </c>
      <c r="F732" s="4">
        <f>CHOOSE( CONTROL!$C$32, 23.0014, 22.9961) * CHOOSE(CONTROL!$C$15, $D$11, 100%, $F$11)</f>
        <v>23.0014</v>
      </c>
      <c r="G732" s="8">
        <f>CHOOSE( CONTROL!$C$32, 21.4045, 21.3993) * CHOOSE( CONTROL!$C$15, $D$11, 100%, $F$11)</f>
        <v>21.404499999999999</v>
      </c>
      <c r="H732" s="4">
        <f>CHOOSE( CONTROL!$C$32, 22.3448, 22.3397) * CHOOSE(CONTROL!$C$15, $D$11, 100%, $F$11)</f>
        <v>22.344799999999999</v>
      </c>
      <c r="I732" s="8">
        <f>CHOOSE( CONTROL!$C$32, 21.1173, 21.1123) * CHOOSE(CONTROL!$C$15, $D$11, 100%, $F$11)</f>
        <v>21.1173</v>
      </c>
      <c r="J732" s="4">
        <f>CHOOSE( CONTROL!$C$32, 21.043, 21.038) * CHOOSE(CONTROL!$C$15, $D$11, 100%, $F$11)</f>
        <v>21.042999999999999</v>
      </c>
      <c r="K732" s="4"/>
      <c r="L732" s="9">
        <v>29.520499999999998</v>
      </c>
      <c r="M732" s="9">
        <v>12.063700000000001</v>
      </c>
      <c r="N732" s="9">
        <v>4.9444999999999997</v>
      </c>
      <c r="O732" s="9">
        <v>0.37459999999999999</v>
      </c>
      <c r="P732" s="9">
        <v>1.2192000000000001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CONTROL!$C$32, 21.506, 21.5008) * CHOOSE(CONTROL!$C$15, $D$11, 100%, $F$11)</f>
        <v>21.506</v>
      </c>
      <c r="C733" s="8">
        <f>CHOOSE( CONTROL!$C$32, 21.5165, 21.5112) * CHOOSE(CONTROL!$C$15, $D$11, 100%, $F$11)</f>
        <v>21.516500000000001</v>
      </c>
      <c r="D733" s="8">
        <f>CHOOSE( CONTROL!$C$32, 21.5276, 21.5223) * CHOOSE( CONTROL!$C$15, $D$11, 100%, $F$11)</f>
        <v>21.5276</v>
      </c>
      <c r="E733" s="12">
        <f>CHOOSE( CONTROL!$C$32, 21.522, 21.5167) * CHOOSE( CONTROL!$C$15, $D$11, 100%, $F$11)</f>
        <v>21.521999999999998</v>
      </c>
      <c r="F733" s="4">
        <f>CHOOSE( CONTROL!$C$32, 22.5415, 22.5362) * CHOOSE(CONTROL!$C$15, $D$11, 100%, $F$11)</f>
        <v>22.541499999999999</v>
      </c>
      <c r="G733" s="8">
        <f>CHOOSE( CONTROL!$C$32, 20.9564, 20.9513) * CHOOSE( CONTROL!$C$15, $D$11, 100%, $F$11)</f>
        <v>20.956399999999999</v>
      </c>
      <c r="H733" s="4">
        <f>CHOOSE( CONTROL!$C$32, 21.8965, 21.8914) * CHOOSE(CONTROL!$C$15, $D$11, 100%, $F$11)</f>
        <v>21.8965</v>
      </c>
      <c r="I733" s="8">
        <f>CHOOSE( CONTROL!$C$32, 20.6771, 20.6721) * CHOOSE(CONTROL!$C$15, $D$11, 100%, $F$11)</f>
        <v>20.677099999999999</v>
      </c>
      <c r="J733" s="4">
        <f>CHOOSE( CONTROL!$C$32, 20.6023, 20.5973) * CHOOSE(CONTROL!$C$15, $D$11, 100%, $F$11)</f>
        <v>20.6023</v>
      </c>
      <c r="K733" s="4"/>
      <c r="L733" s="9">
        <v>28.568200000000001</v>
      </c>
      <c r="M733" s="9">
        <v>11.6745</v>
      </c>
      <c r="N733" s="9">
        <v>4.7850000000000001</v>
      </c>
      <c r="O733" s="9">
        <v>0.36249999999999999</v>
      </c>
      <c r="P733" s="9">
        <v>1.1798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22.4557 * CHOOSE(CONTROL!$C$15, $D$11, 100%, $F$11)</f>
        <v>22.4557</v>
      </c>
      <c r="C734" s="8">
        <f>22.4661 * CHOOSE(CONTROL!$C$15, $D$11, 100%, $F$11)</f>
        <v>22.466100000000001</v>
      </c>
      <c r="D734" s="8">
        <f>22.4785 * CHOOSE( CONTROL!$C$15, $D$11, 100%, $F$11)</f>
        <v>22.4785</v>
      </c>
      <c r="E734" s="12">
        <f>22.4733 * CHOOSE( CONTROL!$C$15, $D$11, 100%, $F$11)</f>
        <v>22.473299999999998</v>
      </c>
      <c r="F734" s="4">
        <f>23.4911 * CHOOSE(CONTROL!$C$15, $D$11, 100%, $F$11)</f>
        <v>23.491099999999999</v>
      </c>
      <c r="G734" s="8">
        <f>21.8814 * CHOOSE( CONTROL!$C$15, $D$11, 100%, $F$11)</f>
        <v>21.881399999999999</v>
      </c>
      <c r="H734" s="4">
        <f>22.8222 * CHOOSE(CONTROL!$C$15, $D$11, 100%, $F$11)</f>
        <v>22.822199999999999</v>
      </c>
      <c r="I734" s="8">
        <f>21.5889 * CHOOSE(CONTROL!$C$15, $D$11, 100%, $F$11)</f>
        <v>21.588899999999999</v>
      </c>
      <c r="J734" s="4">
        <f>21.5123 * CHOOSE(CONTROL!$C$15, $D$11, 100%, $F$11)</f>
        <v>21.5123</v>
      </c>
      <c r="K734" s="4"/>
      <c r="L734" s="9">
        <v>28.921800000000001</v>
      </c>
      <c r="M734" s="9">
        <v>12.063700000000001</v>
      </c>
      <c r="N734" s="9">
        <v>4.9444999999999997</v>
      </c>
      <c r="O734" s="9">
        <v>0.37459999999999999</v>
      </c>
      <c r="P734" s="9">
        <v>1.2192000000000001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24.2183 * CHOOSE(CONTROL!$C$15, $D$11, 100%, $F$11)</f>
        <v>24.218299999999999</v>
      </c>
      <c r="C735" s="8">
        <f>24.2287 * CHOOSE(CONTROL!$C$15, $D$11, 100%, $F$11)</f>
        <v>24.2287</v>
      </c>
      <c r="D735" s="8">
        <f>24.2125 * CHOOSE( CONTROL!$C$15, $D$11, 100%, $F$11)</f>
        <v>24.212499999999999</v>
      </c>
      <c r="E735" s="12">
        <f>24.2173 * CHOOSE( CONTROL!$C$15, $D$11, 100%, $F$11)</f>
        <v>24.217300000000002</v>
      </c>
      <c r="F735" s="4">
        <f>25.2125 * CHOOSE(CONTROL!$C$15, $D$11, 100%, $F$11)</f>
        <v>25.212499999999999</v>
      </c>
      <c r="G735" s="8">
        <f>23.6205 * CHOOSE( CONTROL!$C$15, $D$11, 100%, $F$11)</f>
        <v>23.6205</v>
      </c>
      <c r="H735" s="4">
        <f>24.5002 * CHOOSE(CONTROL!$C$15, $D$11, 100%, $F$11)</f>
        <v>24.5002</v>
      </c>
      <c r="I735" s="8">
        <f>23.3155 * CHOOSE(CONTROL!$C$15, $D$11, 100%, $F$11)</f>
        <v>23.3155</v>
      </c>
      <c r="J735" s="4">
        <f>23.2012 * CHOOSE(CONTROL!$C$15, $D$11, 100%, $F$11)</f>
        <v>23.2012</v>
      </c>
      <c r="K735" s="4"/>
      <c r="L735" s="9">
        <v>26.515499999999999</v>
      </c>
      <c r="M735" s="9">
        <v>11.6745</v>
      </c>
      <c r="N735" s="9">
        <v>4.7850000000000001</v>
      </c>
      <c r="O735" s="9">
        <v>0.36249999999999999</v>
      </c>
      <c r="P735" s="9">
        <v>1.2522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24.1743 * CHOOSE(CONTROL!$C$15, $D$11, 100%, $F$11)</f>
        <v>24.174299999999999</v>
      </c>
      <c r="C736" s="8">
        <f>24.1847 * CHOOSE(CONTROL!$C$15, $D$11, 100%, $F$11)</f>
        <v>24.184699999999999</v>
      </c>
      <c r="D736" s="8">
        <f>24.1707 * CHOOSE( CONTROL!$C$15, $D$11, 100%, $F$11)</f>
        <v>24.1707</v>
      </c>
      <c r="E736" s="12">
        <f>24.1747 * CHOOSE( CONTROL!$C$15, $D$11, 100%, $F$11)</f>
        <v>24.174700000000001</v>
      </c>
      <c r="F736" s="4">
        <f>25.1685 * CHOOSE(CONTROL!$C$15, $D$11, 100%, $F$11)</f>
        <v>25.168500000000002</v>
      </c>
      <c r="G736" s="8">
        <f>23.5794 * CHOOSE( CONTROL!$C$15, $D$11, 100%, $F$11)</f>
        <v>23.5794</v>
      </c>
      <c r="H736" s="4">
        <f>24.4572 * CHOOSE(CONTROL!$C$15, $D$11, 100%, $F$11)</f>
        <v>24.4572</v>
      </c>
      <c r="I736" s="8">
        <f>23.2809 * CHOOSE(CONTROL!$C$15, $D$11, 100%, $F$11)</f>
        <v>23.280899999999999</v>
      </c>
      <c r="J736" s="4">
        <f>23.159 * CHOOSE(CONTROL!$C$15, $D$11, 100%, $F$11)</f>
        <v>23.158999999999999</v>
      </c>
      <c r="K736" s="4"/>
      <c r="L736" s="9">
        <v>27.3993</v>
      </c>
      <c r="M736" s="9">
        <v>12.063700000000001</v>
      </c>
      <c r="N736" s="9">
        <v>4.9444999999999997</v>
      </c>
      <c r="O736" s="9">
        <v>0.37459999999999999</v>
      </c>
      <c r="P736" s="9">
        <v>1.2939000000000001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25.098 * CHOOSE(CONTROL!$C$15, $D$11, 100%, $F$11)</f>
        <v>25.097999999999999</v>
      </c>
      <c r="C737" s="8">
        <f>25.1084 * CHOOSE(CONTROL!$C$15, $D$11, 100%, $F$11)</f>
        <v>25.1084</v>
      </c>
      <c r="D737" s="8">
        <f>25.1078 * CHOOSE( CONTROL!$C$15, $D$11, 100%, $F$11)</f>
        <v>25.107800000000001</v>
      </c>
      <c r="E737" s="12">
        <f>25.1069 * CHOOSE( CONTROL!$C$15, $D$11, 100%, $F$11)</f>
        <v>25.1069</v>
      </c>
      <c r="F737" s="4">
        <f>26.1209 * CHOOSE(CONTROL!$C$15, $D$11, 100%, $F$11)</f>
        <v>26.120899999999999</v>
      </c>
      <c r="G737" s="8">
        <f>24.4934 * CHOOSE( CONTROL!$C$15, $D$11, 100%, $F$11)</f>
        <v>24.493400000000001</v>
      </c>
      <c r="H737" s="4">
        <f>25.3857 * CHOOSE(CONTROL!$C$15, $D$11, 100%, $F$11)</f>
        <v>25.3857</v>
      </c>
      <c r="I737" s="8">
        <f>24.1647 * CHOOSE(CONTROL!$C$15, $D$11, 100%, $F$11)</f>
        <v>24.1647</v>
      </c>
      <c r="J737" s="4">
        <f>24.0441 * CHOOSE(CONTROL!$C$15, $D$11, 100%, $F$11)</f>
        <v>24.0441</v>
      </c>
      <c r="K737" s="4"/>
      <c r="L737" s="9">
        <v>27.3993</v>
      </c>
      <c r="M737" s="9">
        <v>12.063700000000001</v>
      </c>
      <c r="N737" s="9">
        <v>4.9444999999999997</v>
      </c>
      <c r="O737" s="9">
        <v>0.37459999999999999</v>
      </c>
      <c r="P737" s="9">
        <v>1.2939000000000001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23.4758 * CHOOSE(CONTROL!$C$15, $D$11, 100%, $F$11)</f>
        <v>23.4758</v>
      </c>
      <c r="C738" s="8">
        <f>23.4862 * CHOOSE(CONTROL!$C$15, $D$11, 100%, $F$11)</f>
        <v>23.4862</v>
      </c>
      <c r="D738" s="8">
        <f>23.4877 * CHOOSE( CONTROL!$C$15, $D$11, 100%, $F$11)</f>
        <v>23.4877</v>
      </c>
      <c r="E738" s="12">
        <f>23.486 * CHOOSE( CONTROL!$C$15, $D$11, 100%, $F$11)</f>
        <v>23.486000000000001</v>
      </c>
      <c r="F738" s="4">
        <f>24.4908 * CHOOSE(CONTROL!$C$15, $D$11, 100%, $F$11)</f>
        <v>24.4908</v>
      </c>
      <c r="G738" s="8">
        <f>22.9118 * CHOOSE( CONTROL!$C$15, $D$11, 100%, $F$11)</f>
        <v>22.911799999999999</v>
      </c>
      <c r="H738" s="4">
        <f>23.7967 * CHOOSE(CONTROL!$C$15, $D$11, 100%, $F$11)</f>
        <v>23.796700000000001</v>
      </c>
      <c r="I738" s="8">
        <f>22.5986 * CHOOSE(CONTROL!$C$15, $D$11, 100%, $F$11)</f>
        <v>22.598600000000001</v>
      </c>
      <c r="J738" s="4">
        <f>22.4897 * CHOOSE(CONTROL!$C$15, $D$11, 100%, $F$11)</f>
        <v>22.489699999999999</v>
      </c>
      <c r="K738" s="4"/>
      <c r="L738" s="9">
        <v>25.631599999999999</v>
      </c>
      <c r="M738" s="9">
        <v>11.285299999999999</v>
      </c>
      <c r="N738" s="9">
        <v>4.6254999999999997</v>
      </c>
      <c r="O738" s="9">
        <v>0.35039999999999999</v>
      </c>
      <c r="P738" s="9">
        <v>1.2104999999999999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22.9761 * CHOOSE(CONTROL!$C$15, $D$11, 100%, $F$11)</f>
        <v>22.976099999999999</v>
      </c>
      <c r="C739" s="8">
        <f>22.9866 * CHOOSE(CONTROL!$C$15, $D$11, 100%, $F$11)</f>
        <v>22.986599999999999</v>
      </c>
      <c r="D739" s="8">
        <f>22.9676 * CHOOSE( CONTROL!$C$15, $D$11, 100%, $F$11)</f>
        <v>22.967600000000001</v>
      </c>
      <c r="E739" s="12">
        <f>22.9734 * CHOOSE( CONTROL!$C$15, $D$11, 100%, $F$11)</f>
        <v>22.973400000000002</v>
      </c>
      <c r="F739" s="4">
        <f>23.975 * CHOOSE(CONTROL!$C$15, $D$11, 100%, $F$11)</f>
        <v>23.975000000000001</v>
      </c>
      <c r="G739" s="8">
        <f>22.4041 * CHOOSE( CONTROL!$C$15, $D$11, 100%, $F$11)</f>
        <v>22.4041</v>
      </c>
      <c r="H739" s="4">
        <f>23.2939 * CHOOSE(CONTROL!$C$15, $D$11, 100%, $F$11)</f>
        <v>23.293900000000001</v>
      </c>
      <c r="I739" s="8">
        <f>22.0801 * CHOOSE(CONTROL!$C$15, $D$11, 100%, $F$11)</f>
        <v>22.080100000000002</v>
      </c>
      <c r="J739" s="4">
        <f>22.011 * CHOOSE(CONTROL!$C$15, $D$11, 100%, $F$11)</f>
        <v>22.010999999999999</v>
      </c>
      <c r="K739" s="4"/>
      <c r="L739" s="9">
        <v>27.3993</v>
      </c>
      <c r="M739" s="9">
        <v>12.063700000000001</v>
      </c>
      <c r="N739" s="9">
        <v>4.9444999999999997</v>
      </c>
      <c r="O739" s="9">
        <v>0.37459999999999999</v>
      </c>
      <c r="P739" s="9">
        <v>1.2939000000000001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23.3253 * CHOOSE(CONTROL!$C$15, $D$11, 100%, $F$11)</f>
        <v>23.325299999999999</v>
      </c>
      <c r="C740" s="8">
        <f>23.3357 * CHOOSE(CONTROL!$C$15, $D$11, 100%, $F$11)</f>
        <v>23.335699999999999</v>
      </c>
      <c r="D740" s="8">
        <f>23.3397 * CHOOSE( CONTROL!$C$15, $D$11, 100%, $F$11)</f>
        <v>23.339700000000001</v>
      </c>
      <c r="E740" s="12">
        <f>23.3372 * CHOOSE( CONTROL!$C$15, $D$11, 100%, $F$11)</f>
        <v>23.337199999999999</v>
      </c>
      <c r="F740" s="4">
        <f>24.3325 * CHOOSE(CONTROL!$C$15, $D$11, 100%, $F$11)</f>
        <v>24.3325</v>
      </c>
      <c r="G740" s="8">
        <f>22.7328 * CHOOSE( CONTROL!$C$15, $D$11, 100%, $F$11)</f>
        <v>22.732800000000001</v>
      </c>
      <c r="H740" s="4">
        <f>23.6424 * CHOOSE(CONTROL!$C$15, $D$11, 100%, $F$11)</f>
        <v>23.642399999999999</v>
      </c>
      <c r="I740" s="8">
        <f>22.4049 * CHOOSE(CONTROL!$C$15, $D$11, 100%, $F$11)</f>
        <v>22.404900000000001</v>
      </c>
      <c r="J740" s="4">
        <f>22.3455 * CHOOSE(CONTROL!$C$15, $D$11, 100%, $F$11)</f>
        <v>22.345500000000001</v>
      </c>
      <c r="K740" s="4"/>
      <c r="L740" s="9">
        <v>27.988800000000001</v>
      </c>
      <c r="M740" s="9">
        <v>11.6745</v>
      </c>
      <c r="N740" s="9">
        <v>4.7850000000000001</v>
      </c>
      <c r="O740" s="9">
        <v>0.36249999999999999</v>
      </c>
      <c r="P740" s="9">
        <v>1.1798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CONTROL!$C$32, 23.9519, 23.9466) * CHOOSE(CONTROL!$C$15, $D$11, 100%, $F$11)</f>
        <v>23.951899999999998</v>
      </c>
      <c r="C741" s="8">
        <f>CHOOSE( CONTROL!$C$32, 23.9623, 23.9571) * CHOOSE(CONTROL!$C$15, $D$11, 100%, $F$11)</f>
        <v>23.962299999999999</v>
      </c>
      <c r="D741" s="8">
        <f>CHOOSE( CONTROL!$C$32, 23.9752, 23.9699) * CHOOSE( CONTROL!$C$15, $D$11, 100%, $F$11)</f>
        <v>23.975200000000001</v>
      </c>
      <c r="E741" s="12">
        <f>CHOOSE( CONTROL!$C$32, 23.9689, 23.9637) * CHOOSE( CONTROL!$C$15, $D$11, 100%, $F$11)</f>
        <v>23.968900000000001</v>
      </c>
      <c r="F741" s="4">
        <f>CHOOSE( CONTROL!$C$32, 24.9748, 24.9696) * CHOOSE(CONTROL!$C$15, $D$11, 100%, $F$11)</f>
        <v>24.974799999999998</v>
      </c>
      <c r="G741" s="8">
        <f>CHOOSE( CONTROL!$C$32, 23.3492, 23.3441) * CHOOSE( CONTROL!$C$15, $D$11, 100%, $F$11)</f>
        <v>23.3492</v>
      </c>
      <c r="H741" s="4">
        <f>CHOOSE( CONTROL!$C$32, 24.2685, 24.2634) * CHOOSE(CONTROL!$C$15, $D$11, 100%, $F$11)</f>
        <v>24.2685</v>
      </c>
      <c r="I741" s="8">
        <f>CHOOSE( CONTROL!$C$32, 23.011, 23.0059) * CHOOSE(CONTROL!$C$15, $D$11, 100%, $F$11)</f>
        <v>23.010999999999999</v>
      </c>
      <c r="J741" s="4">
        <f>CHOOSE( CONTROL!$C$32, 22.946, 22.9409) * CHOOSE(CONTROL!$C$15, $D$11, 100%, $F$11)</f>
        <v>22.946000000000002</v>
      </c>
      <c r="K741" s="4"/>
      <c r="L741" s="9">
        <v>29.520499999999998</v>
      </c>
      <c r="M741" s="9">
        <v>12.063700000000001</v>
      </c>
      <c r="N741" s="9">
        <v>4.9444999999999997</v>
      </c>
      <c r="O741" s="9">
        <v>0.37459999999999999</v>
      </c>
      <c r="P741" s="9">
        <v>1.2192000000000001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CONTROL!$C$32, 23.567, 23.5617) * CHOOSE(CONTROL!$C$15, $D$11, 100%, $F$11)</f>
        <v>23.567</v>
      </c>
      <c r="C742" s="8">
        <f>CHOOSE( CONTROL!$C$32, 23.5774, 23.5722) * CHOOSE(CONTROL!$C$15, $D$11, 100%, $F$11)</f>
        <v>23.577400000000001</v>
      </c>
      <c r="D742" s="8">
        <f>CHOOSE( CONTROL!$C$32, 23.5978, 23.5926) * CHOOSE( CONTROL!$C$15, $D$11, 100%, $F$11)</f>
        <v>23.597799999999999</v>
      </c>
      <c r="E742" s="12">
        <f>CHOOSE( CONTROL!$C$32, 23.5888, 23.5836) * CHOOSE( CONTROL!$C$15, $D$11, 100%, $F$11)</f>
        <v>23.588799999999999</v>
      </c>
      <c r="F742" s="4">
        <f>CHOOSE( CONTROL!$C$32, 24.6024, 24.5972) * CHOOSE(CONTROL!$C$15, $D$11, 100%, $F$11)</f>
        <v>24.602399999999999</v>
      </c>
      <c r="G742" s="8">
        <f>CHOOSE( CONTROL!$C$32, 22.9779, 22.9727) * CHOOSE( CONTROL!$C$15, $D$11, 100%, $F$11)</f>
        <v>22.977900000000002</v>
      </c>
      <c r="H742" s="4">
        <f>CHOOSE( CONTROL!$C$32, 23.9055, 23.9004) * CHOOSE(CONTROL!$C$15, $D$11, 100%, $F$11)</f>
        <v>23.9055</v>
      </c>
      <c r="I742" s="8">
        <f>CHOOSE( CONTROL!$C$32, 22.6472, 22.6421) * CHOOSE(CONTROL!$C$15, $D$11, 100%, $F$11)</f>
        <v>22.647200000000002</v>
      </c>
      <c r="J742" s="4">
        <f>CHOOSE( CONTROL!$C$32, 22.5771, 22.5721) * CHOOSE(CONTROL!$C$15, $D$11, 100%, $F$11)</f>
        <v>22.577100000000002</v>
      </c>
      <c r="K742" s="4"/>
      <c r="L742" s="9">
        <v>28.568200000000001</v>
      </c>
      <c r="M742" s="9">
        <v>11.6745</v>
      </c>
      <c r="N742" s="9">
        <v>4.7850000000000001</v>
      </c>
      <c r="O742" s="9">
        <v>0.36249999999999999</v>
      </c>
      <c r="P742" s="9">
        <v>1.1798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CONTROL!$C$32, 24.5806, 24.5754) * CHOOSE(CONTROL!$C$15, $D$11, 100%, $F$11)</f>
        <v>24.5806</v>
      </c>
      <c r="C743" s="8">
        <f>CHOOSE( CONTROL!$C$32, 24.5911, 24.5858) * CHOOSE(CONTROL!$C$15, $D$11, 100%, $F$11)</f>
        <v>24.591100000000001</v>
      </c>
      <c r="D743" s="8">
        <f>CHOOSE( CONTROL!$C$32, 24.6017, 24.5964) * CHOOSE( CONTROL!$C$15, $D$11, 100%, $F$11)</f>
        <v>24.601700000000001</v>
      </c>
      <c r="E743" s="12">
        <f>CHOOSE( CONTROL!$C$32, 24.5963, 24.591) * CHOOSE( CONTROL!$C$15, $D$11, 100%, $F$11)</f>
        <v>24.596299999999999</v>
      </c>
      <c r="F743" s="4">
        <f>CHOOSE( CONTROL!$C$32, 25.6161, 25.6108) * CHOOSE(CONTROL!$C$15, $D$11, 100%, $F$11)</f>
        <v>25.616099999999999</v>
      </c>
      <c r="G743" s="8">
        <f>CHOOSE( CONTROL!$C$32, 23.9527, 23.9476) * CHOOSE( CONTROL!$C$15, $D$11, 100%, $F$11)</f>
        <v>23.9527</v>
      </c>
      <c r="H743" s="4">
        <f>CHOOSE( CONTROL!$C$32, 24.8936, 24.8884) * CHOOSE(CONTROL!$C$15, $D$11, 100%, $F$11)</f>
        <v>24.893599999999999</v>
      </c>
      <c r="I743" s="8">
        <f>CHOOSE( CONTROL!$C$32, 23.6223, 23.6173) * CHOOSE(CONTROL!$C$15, $D$11, 100%, $F$11)</f>
        <v>23.622299999999999</v>
      </c>
      <c r="J743" s="4">
        <f>CHOOSE( CONTROL!$C$32, 23.5484, 23.5434) * CHOOSE(CONTROL!$C$15, $D$11, 100%, $F$11)</f>
        <v>23.548400000000001</v>
      </c>
      <c r="K743" s="4"/>
      <c r="L743" s="9">
        <v>29.520499999999998</v>
      </c>
      <c r="M743" s="9">
        <v>12.063700000000001</v>
      </c>
      <c r="N743" s="9">
        <v>4.9444999999999997</v>
      </c>
      <c r="O743" s="9">
        <v>0.37459999999999999</v>
      </c>
      <c r="P743" s="9">
        <v>1.2192000000000001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CONTROL!$C$32, 22.684, 22.6787) * CHOOSE(CONTROL!$C$15, $D$11, 100%, $F$11)</f>
        <v>22.684000000000001</v>
      </c>
      <c r="C744" s="8">
        <f>CHOOSE( CONTROL!$C$32, 22.6944, 22.6892) * CHOOSE(CONTROL!$C$15, $D$11, 100%, $F$11)</f>
        <v>22.694400000000002</v>
      </c>
      <c r="D744" s="8">
        <f>CHOOSE( CONTROL!$C$32, 22.7053, 22.7001) * CHOOSE( CONTROL!$C$15, $D$11, 100%, $F$11)</f>
        <v>22.705300000000001</v>
      </c>
      <c r="E744" s="12">
        <f>CHOOSE( CONTROL!$C$32, 22.6998, 22.6945) * CHOOSE( CONTROL!$C$15, $D$11, 100%, $F$11)</f>
        <v>22.6998</v>
      </c>
      <c r="F744" s="4">
        <f>CHOOSE( CONTROL!$C$32, 23.7194, 23.7142) * CHOOSE(CONTROL!$C$15, $D$11, 100%, $F$11)</f>
        <v>23.7194</v>
      </c>
      <c r="G744" s="8">
        <f>CHOOSE( CONTROL!$C$32, 22.1044, 22.0993) * CHOOSE( CONTROL!$C$15, $D$11, 100%, $F$11)</f>
        <v>22.104399999999998</v>
      </c>
      <c r="H744" s="4">
        <f>CHOOSE( CONTROL!$C$32, 23.0448, 23.0396) * CHOOSE(CONTROL!$C$15, $D$11, 100%, $F$11)</f>
        <v>23.044799999999999</v>
      </c>
      <c r="I744" s="8">
        <f>CHOOSE( CONTROL!$C$32, 21.8057, 21.8006) * CHOOSE(CONTROL!$C$15, $D$11, 100%, $F$11)</f>
        <v>21.805700000000002</v>
      </c>
      <c r="J744" s="4">
        <f>CHOOSE( CONTROL!$C$32, 21.731, 21.726) * CHOOSE(CONTROL!$C$15, $D$11, 100%, $F$11)</f>
        <v>21.731000000000002</v>
      </c>
      <c r="K744" s="4"/>
      <c r="L744" s="9">
        <v>29.520499999999998</v>
      </c>
      <c r="M744" s="9">
        <v>12.063700000000001</v>
      </c>
      <c r="N744" s="9">
        <v>4.9444999999999997</v>
      </c>
      <c r="O744" s="9">
        <v>0.37459999999999999</v>
      </c>
      <c r="P744" s="9">
        <v>1.2192000000000001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CONTROL!$C$32, 22.209, 22.2038) * CHOOSE(CONTROL!$C$15, $D$11, 100%, $F$11)</f>
        <v>22.209</v>
      </c>
      <c r="C745" s="8">
        <f>CHOOSE( CONTROL!$C$32, 22.2195, 22.2142) * CHOOSE(CONTROL!$C$15, $D$11, 100%, $F$11)</f>
        <v>22.2195</v>
      </c>
      <c r="D745" s="8">
        <f>CHOOSE( CONTROL!$C$32, 22.2305, 22.2253) * CHOOSE( CONTROL!$C$15, $D$11, 100%, $F$11)</f>
        <v>22.230499999999999</v>
      </c>
      <c r="E745" s="12">
        <f>CHOOSE( CONTROL!$C$32, 22.2249, 22.2197) * CHOOSE( CONTROL!$C$15, $D$11, 100%, $F$11)</f>
        <v>22.224900000000002</v>
      </c>
      <c r="F745" s="4">
        <f>CHOOSE( CONTROL!$C$32, 23.2445, 23.2392) * CHOOSE(CONTROL!$C$15, $D$11, 100%, $F$11)</f>
        <v>23.244499999999999</v>
      </c>
      <c r="G745" s="8">
        <f>CHOOSE( CONTROL!$C$32, 21.6416, 21.6365) * CHOOSE( CONTROL!$C$15, $D$11, 100%, $F$11)</f>
        <v>21.6416</v>
      </c>
      <c r="H745" s="4">
        <f>CHOOSE( CONTROL!$C$32, 22.5818, 22.5767) * CHOOSE(CONTROL!$C$15, $D$11, 100%, $F$11)</f>
        <v>22.581800000000001</v>
      </c>
      <c r="I745" s="8">
        <f>CHOOSE( CONTROL!$C$32, 21.351, 21.346) * CHOOSE(CONTROL!$C$15, $D$11, 100%, $F$11)</f>
        <v>21.350999999999999</v>
      </c>
      <c r="J745" s="4">
        <f>CHOOSE( CONTROL!$C$32, 21.2759, 21.2709) * CHOOSE(CONTROL!$C$15, $D$11, 100%, $F$11)</f>
        <v>21.2759</v>
      </c>
      <c r="K745" s="4"/>
      <c r="L745" s="9">
        <v>28.568200000000001</v>
      </c>
      <c r="M745" s="9">
        <v>11.6745</v>
      </c>
      <c r="N745" s="9">
        <v>4.7850000000000001</v>
      </c>
      <c r="O745" s="9">
        <v>0.36249999999999999</v>
      </c>
      <c r="P745" s="9">
        <v>1.1798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23.1899 * CHOOSE(CONTROL!$C$15, $D$11, 100%, $F$11)</f>
        <v>23.189900000000002</v>
      </c>
      <c r="C746" s="8">
        <f>23.2004 * CHOOSE(CONTROL!$C$15, $D$11, 100%, $F$11)</f>
        <v>23.200399999999998</v>
      </c>
      <c r="D746" s="8">
        <f>23.2127 * CHOOSE( CONTROL!$C$15, $D$11, 100%, $F$11)</f>
        <v>23.212700000000002</v>
      </c>
      <c r="E746" s="12">
        <f>23.2075 * CHOOSE( CONTROL!$C$15, $D$11, 100%, $F$11)</f>
        <v>23.2075</v>
      </c>
      <c r="F746" s="4">
        <f>24.2254 * CHOOSE(CONTROL!$C$15, $D$11, 100%, $F$11)</f>
        <v>24.2254</v>
      </c>
      <c r="G746" s="8">
        <f>22.5971 * CHOOSE( CONTROL!$C$15, $D$11, 100%, $F$11)</f>
        <v>22.597100000000001</v>
      </c>
      <c r="H746" s="4">
        <f>23.5379 * CHOOSE(CONTROL!$C$15, $D$11, 100%, $F$11)</f>
        <v>23.5379</v>
      </c>
      <c r="I746" s="8">
        <f>22.2928 * CHOOSE(CONTROL!$C$15, $D$11, 100%, $F$11)</f>
        <v>22.2928</v>
      </c>
      <c r="J746" s="4">
        <f>22.2158 * CHOOSE(CONTROL!$C$15, $D$11, 100%, $F$11)</f>
        <v>22.215800000000002</v>
      </c>
      <c r="K746" s="4"/>
      <c r="L746" s="9">
        <v>28.921800000000001</v>
      </c>
      <c r="M746" s="9">
        <v>12.063700000000001</v>
      </c>
      <c r="N746" s="9">
        <v>4.9444999999999997</v>
      </c>
      <c r="O746" s="9">
        <v>0.37459999999999999</v>
      </c>
      <c r="P746" s="9">
        <v>1.2192000000000001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25.0102 * CHOOSE(CONTROL!$C$15, $D$11, 100%, $F$11)</f>
        <v>25.010200000000001</v>
      </c>
      <c r="C747" s="8">
        <f>25.0206 * CHOOSE(CONTROL!$C$15, $D$11, 100%, $F$11)</f>
        <v>25.020600000000002</v>
      </c>
      <c r="D747" s="8">
        <f>25.0043 * CHOOSE( CONTROL!$C$15, $D$11, 100%, $F$11)</f>
        <v>25.004300000000001</v>
      </c>
      <c r="E747" s="12">
        <f>25.0092 * CHOOSE( CONTROL!$C$15, $D$11, 100%, $F$11)</f>
        <v>25.0092</v>
      </c>
      <c r="F747" s="4">
        <f>26.0044 * CHOOSE(CONTROL!$C$15, $D$11, 100%, $F$11)</f>
        <v>26.0044</v>
      </c>
      <c r="G747" s="8">
        <f>24.3924 * CHOOSE( CONTROL!$C$15, $D$11, 100%, $F$11)</f>
        <v>24.392399999999999</v>
      </c>
      <c r="H747" s="4">
        <f>25.2721 * CHOOSE(CONTROL!$C$15, $D$11, 100%, $F$11)</f>
        <v>25.272099999999998</v>
      </c>
      <c r="I747" s="8">
        <f>24.0747 * CHOOSE(CONTROL!$C$15, $D$11, 100%, $F$11)</f>
        <v>24.0747</v>
      </c>
      <c r="J747" s="4">
        <f>23.96 * CHOOSE(CONTROL!$C$15, $D$11, 100%, $F$11)</f>
        <v>23.96</v>
      </c>
      <c r="K747" s="4"/>
      <c r="L747" s="9">
        <v>26.515499999999999</v>
      </c>
      <c r="M747" s="9">
        <v>11.6745</v>
      </c>
      <c r="N747" s="9">
        <v>4.7850000000000001</v>
      </c>
      <c r="O747" s="9">
        <v>0.36249999999999999</v>
      </c>
      <c r="P747" s="9">
        <v>1.2522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24.9647 * CHOOSE(CONTROL!$C$15, $D$11, 100%, $F$11)</f>
        <v>24.964700000000001</v>
      </c>
      <c r="C748" s="8">
        <f>24.9751 * CHOOSE(CONTROL!$C$15, $D$11, 100%, $F$11)</f>
        <v>24.975100000000001</v>
      </c>
      <c r="D748" s="8">
        <f>24.9612 * CHOOSE( CONTROL!$C$15, $D$11, 100%, $F$11)</f>
        <v>24.961200000000002</v>
      </c>
      <c r="E748" s="12">
        <f>24.9652 * CHOOSE( CONTROL!$C$15, $D$11, 100%, $F$11)</f>
        <v>24.965199999999999</v>
      </c>
      <c r="F748" s="4">
        <f>25.9589 * CHOOSE(CONTROL!$C$15, $D$11, 100%, $F$11)</f>
        <v>25.9589</v>
      </c>
      <c r="G748" s="8">
        <f>24.3498 * CHOOSE( CONTROL!$C$15, $D$11, 100%, $F$11)</f>
        <v>24.349799999999998</v>
      </c>
      <c r="H748" s="4">
        <f>25.2277 * CHOOSE(CONTROL!$C$15, $D$11, 100%, $F$11)</f>
        <v>25.227699999999999</v>
      </c>
      <c r="I748" s="8">
        <f>24.0387 * CHOOSE(CONTROL!$C$15, $D$11, 100%, $F$11)</f>
        <v>24.038699999999999</v>
      </c>
      <c r="J748" s="4">
        <f>23.9164 * CHOOSE(CONTROL!$C$15, $D$11, 100%, $F$11)</f>
        <v>23.916399999999999</v>
      </c>
      <c r="K748" s="4"/>
      <c r="L748" s="9">
        <v>27.3993</v>
      </c>
      <c r="M748" s="9">
        <v>12.063700000000001</v>
      </c>
      <c r="N748" s="9">
        <v>4.9444999999999997</v>
      </c>
      <c r="O748" s="9">
        <v>0.37459999999999999</v>
      </c>
      <c r="P748" s="9">
        <v>1.2939000000000001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25.9186 * CHOOSE(CONTROL!$C$15, $D$11, 100%, $F$11)</f>
        <v>25.918600000000001</v>
      </c>
      <c r="C749" s="8">
        <f>25.9291 * CHOOSE(CONTROL!$C$15, $D$11, 100%, $F$11)</f>
        <v>25.929099999999998</v>
      </c>
      <c r="D749" s="8">
        <f>25.9284 * CHOOSE( CONTROL!$C$15, $D$11, 100%, $F$11)</f>
        <v>25.9284</v>
      </c>
      <c r="E749" s="12">
        <f>25.9275 * CHOOSE( CONTROL!$C$15, $D$11, 100%, $F$11)</f>
        <v>25.927499999999998</v>
      </c>
      <c r="F749" s="4">
        <f>26.9415 * CHOOSE(CONTROL!$C$15, $D$11, 100%, $F$11)</f>
        <v>26.941500000000001</v>
      </c>
      <c r="G749" s="8">
        <f>25.2933 * CHOOSE( CONTROL!$C$15, $D$11, 100%, $F$11)</f>
        <v>25.293299999999999</v>
      </c>
      <c r="H749" s="4">
        <f>26.1856 * CHOOSE(CONTROL!$C$15, $D$11, 100%, $F$11)</f>
        <v>26.185600000000001</v>
      </c>
      <c r="I749" s="8">
        <f>24.9515 * CHOOSE(CONTROL!$C$15, $D$11, 100%, $F$11)</f>
        <v>24.951499999999999</v>
      </c>
      <c r="J749" s="4">
        <f>24.8305 * CHOOSE(CONTROL!$C$15, $D$11, 100%, $F$11)</f>
        <v>24.830500000000001</v>
      </c>
      <c r="K749" s="4"/>
      <c r="L749" s="9">
        <v>27.3993</v>
      </c>
      <c r="M749" s="9">
        <v>12.063700000000001</v>
      </c>
      <c r="N749" s="9">
        <v>4.9444999999999997</v>
      </c>
      <c r="O749" s="9">
        <v>0.37459999999999999</v>
      </c>
      <c r="P749" s="9">
        <v>1.2939000000000001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24.2433 * CHOOSE(CONTROL!$C$15, $D$11, 100%, $F$11)</f>
        <v>24.243300000000001</v>
      </c>
      <c r="C750" s="8">
        <f>24.2538 * CHOOSE(CONTROL!$C$15, $D$11, 100%, $F$11)</f>
        <v>24.253799999999998</v>
      </c>
      <c r="D750" s="8">
        <f>24.2553 * CHOOSE( CONTROL!$C$15, $D$11, 100%, $F$11)</f>
        <v>24.255299999999998</v>
      </c>
      <c r="E750" s="12">
        <f>24.2536 * CHOOSE( CONTROL!$C$15, $D$11, 100%, $F$11)</f>
        <v>24.253599999999999</v>
      </c>
      <c r="F750" s="4">
        <f>25.2584 * CHOOSE(CONTROL!$C$15, $D$11, 100%, $F$11)</f>
        <v>25.258400000000002</v>
      </c>
      <c r="G750" s="8">
        <f>23.66 * CHOOSE( CONTROL!$C$15, $D$11, 100%, $F$11)</f>
        <v>23.66</v>
      </c>
      <c r="H750" s="4">
        <f>24.5449 * CHOOSE(CONTROL!$C$15, $D$11, 100%, $F$11)</f>
        <v>24.544899999999998</v>
      </c>
      <c r="I750" s="8">
        <f>23.3345 * CHOOSE(CONTROL!$C$15, $D$11, 100%, $F$11)</f>
        <v>23.334499999999998</v>
      </c>
      <c r="J750" s="4">
        <f>23.2252 * CHOOSE(CONTROL!$C$15, $D$11, 100%, $F$11)</f>
        <v>23.225200000000001</v>
      </c>
      <c r="K750" s="4"/>
      <c r="L750" s="9">
        <v>24.747800000000002</v>
      </c>
      <c r="M750" s="9">
        <v>10.8962</v>
      </c>
      <c r="N750" s="9">
        <v>4.4660000000000002</v>
      </c>
      <c r="O750" s="9">
        <v>0.33829999999999999</v>
      </c>
      <c r="P750" s="9">
        <v>1.1687000000000001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23.7274 * CHOOSE(CONTROL!$C$15, $D$11, 100%, $F$11)</f>
        <v>23.727399999999999</v>
      </c>
      <c r="C751" s="8">
        <f>23.7378 * CHOOSE(CONTROL!$C$15, $D$11, 100%, $F$11)</f>
        <v>23.7378</v>
      </c>
      <c r="D751" s="8">
        <f>23.7188 * CHOOSE( CONTROL!$C$15, $D$11, 100%, $F$11)</f>
        <v>23.718800000000002</v>
      </c>
      <c r="E751" s="12">
        <f>23.7246 * CHOOSE( CONTROL!$C$15, $D$11, 100%, $F$11)</f>
        <v>23.724599999999999</v>
      </c>
      <c r="F751" s="4">
        <f>24.7263 * CHOOSE(CONTROL!$C$15, $D$11, 100%, $F$11)</f>
        <v>24.726299999999998</v>
      </c>
      <c r="G751" s="8">
        <f>23.1364 * CHOOSE( CONTROL!$C$15, $D$11, 100%, $F$11)</f>
        <v>23.136399999999998</v>
      </c>
      <c r="H751" s="4">
        <f>24.0262 * CHOOSE(CONTROL!$C$15, $D$11, 100%, $F$11)</f>
        <v>24.026199999999999</v>
      </c>
      <c r="I751" s="8">
        <f>22.8003 * CHOOSE(CONTROL!$C$15, $D$11, 100%, $F$11)</f>
        <v>22.8003</v>
      </c>
      <c r="J751" s="4">
        <f>22.7308 * CHOOSE(CONTROL!$C$15, $D$11, 100%, $F$11)</f>
        <v>22.730799999999999</v>
      </c>
      <c r="K751" s="4"/>
      <c r="L751" s="9">
        <v>27.3993</v>
      </c>
      <c r="M751" s="9">
        <v>12.063700000000001</v>
      </c>
      <c r="N751" s="9">
        <v>4.9444999999999997</v>
      </c>
      <c r="O751" s="9">
        <v>0.37459999999999999</v>
      </c>
      <c r="P751" s="9">
        <v>1.2939000000000001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24.0879 * CHOOSE(CONTROL!$C$15, $D$11, 100%, $F$11)</f>
        <v>24.087900000000001</v>
      </c>
      <c r="C752" s="8">
        <f>24.0984 * CHOOSE(CONTROL!$C$15, $D$11, 100%, $F$11)</f>
        <v>24.098400000000002</v>
      </c>
      <c r="D752" s="8">
        <f>24.1024 * CHOOSE( CONTROL!$C$15, $D$11, 100%, $F$11)</f>
        <v>24.102399999999999</v>
      </c>
      <c r="E752" s="12">
        <f>24.0999 * CHOOSE( CONTROL!$C$15, $D$11, 100%, $F$11)</f>
        <v>24.099900000000002</v>
      </c>
      <c r="F752" s="4">
        <f>25.0952 * CHOOSE(CONTROL!$C$15, $D$11, 100%, $F$11)</f>
        <v>25.095199999999998</v>
      </c>
      <c r="G752" s="8">
        <f>23.4762 * CHOOSE( CONTROL!$C$15, $D$11, 100%, $F$11)</f>
        <v>23.476199999999999</v>
      </c>
      <c r="H752" s="4">
        <f>24.3858 * CHOOSE(CONTROL!$C$15, $D$11, 100%, $F$11)</f>
        <v>24.3858</v>
      </c>
      <c r="I752" s="8">
        <f>23.1361 * CHOOSE(CONTROL!$C$15, $D$11, 100%, $F$11)</f>
        <v>23.136099999999999</v>
      </c>
      <c r="J752" s="4">
        <f>23.0763 * CHOOSE(CONTROL!$C$15, $D$11, 100%, $F$11)</f>
        <v>23.0763</v>
      </c>
      <c r="K752" s="4"/>
      <c r="L752" s="9">
        <v>27.988800000000001</v>
      </c>
      <c r="M752" s="9">
        <v>11.6745</v>
      </c>
      <c r="N752" s="9">
        <v>4.7850000000000001</v>
      </c>
      <c r="O752" s="9">
        <v>0.36249999999999999</v>
      </c>
      <c r="P752" s="9">
        <v>1.1798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CONTROL!$C$32, 24.7349, 24.7296) * CHOOSE(CONTROL!$C$15, $D$11, 100%, $F$11)</f>
        <v>24.7349</v>
      </c>
      <c r="C753" s="8">
        <f>CHOOSE( CONTROL!$C$32, 24.7453, 24.7401) * CHOOSE(CONTROL!$C$15, $D$11, 100%, $F$11)</f>
        <v>24.7453</v>
      </c>
      <c r="D753" s="8">
        <f>CHOOSE( CONTROL!$C$32, 24.7582, 24.7529) * CHOOSE( CONTROL!$C$15, $D$11, 100%, $F$11)</f>
        <v>24.758199999999999</v>
      </c>
      <c r="E753" s="12">
        <f>CHOOSE( CONTROL!$C$32, 24.7519, 24.7467) * CHOOSE( CONTROL!$C$15, $D$11, 100%, $F$11)</f>
        <v>24.751899999999999</v>
      </c>
      <c r="F753" s="4">
        <f>CHOOSE( CONTROL!$C$32, 25.7578, 25.7525) * CHOOSE(CONTROL!$C$15, $D$11, 100%, $F$11)</f>
        <v>25.7578</v>
      </c>
      <c r="G753" s="8">
        <f>CHOOSE( CONTROL!$C$32, 24.1124, 24.1073) * CHOOSE( CONTROL!$C$15, $D$11, 100%, $F$11)</f>
        <v>24.112400000000001</v>
      </c>
      <c r="H753" s="4">
        <f>CHOOSE( CONTROL!$C$32, 25.0317, 25.0266) * CHOOSE(CONTROL!$C$15, $D$11, 100%, $F$11)</f>
        <v>25.031700000000001</v>
      </c>
      <c r="I753" s="8">
        <f>CHOOSE( CONTROL!$C$32, 23.7616, 23.7566) * CHOOSE(CONTROL!$C$15, $D$11, 100%, $F$11)</f>
        <v>23.761600000000001</v>
      </c>
      <c r="J753" s="4">
        <f>CHOOSE( CONTROL!$C$32, 23.6962, 23.6912) * CHOOSE(CONTROL!$C$15, $D$11, 100%, $F$11)</f>
        <v>23.696200000000001</v>
      </c>
      <c r="K753" s="4"/>
      <c r="L753" s="9">
        <v>29.520499999999998</v>
      </c>
      <c r="M753" s="9">
        <v>12.063700000000001</v>
      </c>
      <c r="N753" s="9">
        <v>4.9444999999999997</v>
      </c>
      <c r="O753" s="9">
        <v>0.37459999999999999</v>
      </c>
      <c r="P753" s="9">
        <v>1.2192000000000001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CONTROL!$C$32, 24.3374, 24.3321) * CHOOSE(CONTROL!$C$15, $D$11, 100%, $F$11)</f>
        <v>24.337399999999999</v>
      </c>
      <c r="C754" s="8">
        <f>CHOOSE( CONTROL!$C$32, 24.3478, 24.3426) * CHOOSE(CONTROL!$C$15, $D$11, 100%, $F$11)</f>
        <v>24.347799999999999</v>
      </c>
      <c r="D754" s="8">
        <f>CHOOSE( CONTROL!$C$32, 24.3682, 24.363) * CHOOSE( CONTROL!$C$15, $D$11, 100%, $F$11)</f>
        <v>24.368200000000002</v>
      </c>
      <c r="E754" s="12">
        <f>CHOOSE( CONTROL!$C$32, 24.3592, 24.354) * CHOOSE( CONTROL!$C$15, $D$11, 100%, $F$11)</f>
        <v>24.359200000000001</v>
      </c>
      <c r="F754" s="4">
        <f>CHOOSE( CONTROL!$C$32, 25.3728, 25.3675) * CHOOSE(CONTROL!$C$15, $D$11, 100%, $F$11)</f>
        <v>25.372800000000002</v>
      </c>
      <c r="G754" s="8">
        <f>CHOOSE( CONTROL!$C$32, 23.7288, 23.7237) * CHOOSE( CONTROL!$C$15, $D$11, 100%, $F$11)</f>
        <v>23.7288</v>
      </c>
      <c r="H754" s="4">
        <f>CHOOSE( CONTROL!$C$32, 24.6564, 24.6513) * CHOOSE(CONTROL!$C$15, $D$11, 100%, $F$11)</f>
        <v>24.656400000000001</v>
      </c>
      <c r="I754" s="8">
        <f>CHOOSE( CONTROL!$C$32, 23.3857, 23.3807) * CHOOSE(CONTROL!$C$15, $D$11, 100%, $F$11)</f>
        <v>23.3857</v>
      </c>
      <c r="J754" s="4">
        <f>CHOOSE( CONTROL!$C$32, 23.3153, 23.3103) * CHOOSE(CONTROL!$C$15, $D$11, 100%, $F$11)</f>
        <v>23.315300000000001</v>
      </c>
      <c r="K754" s="4"/>
      <c r="L754" s="9">
        <v>28.568200000000001</v>
      </c>
      <c r="M754" s="9">
        <v>11.6745</v>
      </c>
      <c r="N754" s="9">
        <v>4.7850000000000001</v>
      </c>
      <c r="O754" s="9">
        <v>0.36249999999999999</v>
      </c>
      <c r="P754" s="9">
        <v>1.1798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CONTROL!$C$32, 25.3842, 25.3789) * CHOOSE(CONTROL!$C$15, $D$11, 100%, $F$11)</f>
        <v>25.3842</v>
      </c>
      <c r="C755" s="8">
        <f>CHOOSE( CONTROL!$C$32, 25.3946, 25.3894) * CHOOSE(CONTROL!$C$15, $D$11, 100%, $F$11)</f>
        <v>25.394600000000001</v>
      </c>
      <c r="D755" s="8">
        <f>CHOOSE( CONTROL!$C$32, 25.4052, 25.4) * CHOOSE( CONTROL!$C$15, $D$11, 100%, $F$11)</f>
        <v>25.405200000000001</v>
      </c>
      <c r="E755" s="12">
        <f>CHOOSE( CONTROL!$C$32, 25.3998, 25.3946) * CHOOSE( CONTROL!$C$15, $D$11, 100%, $F$11)</f>
        <v>25.399799999999999</v>
      </c>
      <c r="F755" s="4">
        <f>CHOOSE( CONTROL!$C$32, 26.4196, 26.4144) * CHOOSE(CONTROL!$C$15, $D$11, 100%, $F$11)</f>
        <v>26.419599999999999</v>
      </c>
      <c r="G755" s="8">
        <f>CHOOSE( CONTROL!$C$32, 24.736, 24.7308) * CHOOSE( CONTROL!$C$15, $D$11, 100%, $F$11)</f>
        <v>24.736000000000001</v>
      </c>
      <c r="H755" s="4">
        <f>CHOOSE( CONTROL!$C$32, 25.6768, 25.6717) * CHOOSE(CONTROL!$C$15, $D$11, 100%, $F$11)</f>
        <v>25.6768</v>
      </c>
      <c r="I755" s="8">
        <f>CHOOSE( CONTROL!$C$32, 24.3927, 24.3876) * CHOOSE(CONTROL!$C$15, $D$11, 100%, $F$11)</f>
        <v>24.392700000000001</v>
      </c>
      <c r="J755" s="4">
        <f>CHOOSE( CONTROL!$C$32, 24.3184, 24.3133) * CHOOSE(CONTROL!$C$15, $D$11, 100%, $F$11)</f>
        <v>24.3184</v>
      </c>
      <c r="K755" s="4"/>
      <c r="L755" s="9">
        <v>29.520499999999998</v>
      </c>
      <c r="M755" s="9">
        <v>12.063700000000001</v>
      </c>
      <c r="N755" s="9">
        <v>4.9444999999999997</v>
      </c>
      <c r="O755" s="9">
        <v>0.37459999999999999</v>
      </c>
      <c r="P755" s="9">
        <v>1.2192000000000001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CONTROL!$C$32, 23.4255, 23.4202) * CHOOSE(CONTROL!$C$15, $D$11, 100%, $F$11)</f>
        <v>23.4255</v>
      </c>
      <c r="C756" s="8">
        <f>CHOOSE( CONTROL!$C$32, 23.4359, 23.4307) * CHOOSE(CONTROL!$C$15, $D$11, 100%, $F$11)</f>
        <v>23.4359</v>
      </c>
      <c r="D756" s="8">
        <f>CHOOSE( CONTROL!$C$32, 23.4469, 23.4416) * CHOOSE( CONTROL!$C$15, $D$11, 100%, $F$11)</f>
        <v>23.446899999999999</v>
      </c>
      <c r="E756" s="12">
        <f>CHOOSE( CONTROL!$C$32, 23.4413, 23.436) * CHOOSE( CONTROL!$C$15, $D$11, 100%, $F$11)</f>
        <v>23.441299999999998</v>
      </c>
      <c r="F756" s="4">
        <f>CHOOSE( CONTROL!$C$32, 24.4609, 24.4557) * CHOOSE(CONTROL!$C$15, $D$11, 100%, $F$11)</f>
        <v>24.460899999999999</v>
      </c>
      <c r="G756" s="8">
        <f>CHOOSE( CONTROL!$C$32, 22.8272, 22.8221) * CHOOSE( CONTROL!$C$15, $D$11, 100%, $F$11)</f>
        <v>22.827200000000001</v>
      </c>
      <c r="H756" s="4">
        <f>CHOOSE( CONTROL!$C$32, 23.7676, 23.7624) * CHOOSE(CONTROL!$C$15, $D$11, 100%, $F$11)</f>
        <v>23.767600000000002</v>
      </c>
      <c r="I756" s="8">
        <f>CHOOSE( CONTROL!$C$32, 22.5165, 22.5115) * CHOOSE(CONTROL!$C$15, $D$11, 100%, $F$11)</f>
        <v>22.516500000000001</v>
      </c>
      <c r="J756" s="4">
        <f>CHOOSE( CONTROL!$C$32, 22.4416, 22.4365) * CHOOSE(CONTROL!$C$15, $D$11, 100%, $F$11)</f>
        <v>22.441600000000001</v>
      </c>
      <c r="K756" s="4"/>
      <c r="L756" s="9">
        <v>29.520499999999998</v>
      </c>
      <c r="M756" s="9">
        <v>12.063700000000001</v>
      </c>
      <c r="N756" s="9">
        <v>4.9444999999999997</v>
      </c>
      <c r="O756" s="9">
        <v>0.37459999999999999</v>
      </c>
      <c r="P756" s="9">
        <v>1.2192000000000001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CONTROL!$C$32, 22.935, 22.9298) * CHOOSE(CONTROL!$C$15, $D$11, 100%, $F$11)</f>
        <v>22.934999999999999</v>
      </c>
      <c r="C757" s="8">
        <f>CHOOSE( CONTROL!$C$32, 22.9455, 22.9402) * CHOOSE(CONTROL!$C$15, $D$11, 100%, $F$11)</f>
        <v>22.945499999999999</v>
      </c>
      <c r="D757" s="8">
        <f>CHOOSE( CONTROL!$C$32, 22.9565, 22.9513) * CHOOSE( CONTROL!$C$15, $D$11, 100%, $F$11)</f>
        <v>22.956499999999998</v>
      </c>
      <c r="E757" s="12">
        <f>CHOOSE( CONTROL!$C$32, 22.9509, 22.9457) * CHOOSE( CONTROL!$C$15, $D$11, 100%, $F$11)</f>
        <v>22.950900000000001</v>
      </c>
      <c r="F757" s="4">
        <f>CHOOSE( CONTROL!$C$32, 23.9704, 23.9652) * CHOOSE(CONTROL!$C$15, $D$11, 100%, $F$11)</f>
        <v>23.970400000000001</v>
      </c>
      <c r="G757" s="8">
        <f>CHOOSE( CONTROL!$C$32, 22.3493, 22.3442) * CHOOSE( CONTROL!$C$15, $D$11, 100%, $F$11)</f>
        <v>22.349299999999999</v>
      </c>
      <c r="H757" s="4">
        <f>CHOOSE( CONTROL!$C$32, 23.2895, 23.2843) * CHOOSE(CONTROL!$C$15, $D$11, 100%, $F$11)</f>
        <v>23.2895</v>
      </c>
      <c r="I757" s="8">
        <f>CHOOSE( CONTROL!$C$32, 22.047, 22.042) * CHOOSE(CONTROL!$C$15, $D$11, 100%, $F$11)</f>
        <v>22.047000000000001</v>
      </c>
      <c r="J757" s="4">
        <f>CHOOSE( CONTROL!$C$32, 21.9716, 21.9665) * CHOOSE(CONTROL!$C$15, $D$11, 100%, $F$11)</f>
        <v>21.971599999999999</v>
      </c>
      <c r="K757" s="4"/>
      <c r="L757" s="9">
        <v>28.568200000000001</v>
      </c>
      <c r="M757" s="9">
        <v>11.6745</v>
      </c>
      <c r="N757" s="9">
        <v>4.7850000000000001</v>
      </c>
      <c r="O757" s="9">
        <v>0.36249999999999999</v>
      </c>
      <c r="P757" s="9">
        <v>1.1798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23.9482 * CHOOSE(CONTROL!$C$15, $D$11, 100%, $F$11)</f>
        <v>23.9482</v>
      </c>
      <c r="C758" s="8">
        <f>23.9586 * CHOOSE(CONTROL!$C$15, $D$11, 100%, $F$11)</f>
        <v>23.958600000000001</v>
      </c>
      <c r="D758" s="8">
        <f>23.971 * CHOOSE( CONTROL!$C$15, $D$11, 100%, $F$11)</f>
        <v>23.971</v>
      </c>
      <c r="E758" s="12">
        <f>23.9658 * CHOOSE( CONTROL!$C$15, $D$11, 100%, $F$11)</f>
        <v>23.965800000000002</v>
      </c>
      <c r="F758" s="4">
        <f>24.9836 * CHOOSE(CONTROL!$C$15, $D$11, 100%, $F$11)</f>
        <v>24.983599999999999</v>
      </c>
      <c r="G758" s="8">
        <f>23.3362 * CHOOSE( CONTROL!$C$15, $D$11, 100%, $F$11)</f>
        <v>23.336200000000002</v>
      </c>
      <c r="H758" s="4">
        <f>24.277 * CHOOSE(CONTROL!$C$15, $D$11, 100%, $F$11)</f>
        <v>24.277000000000001</v>
      </c>
      <c r="I758" s="8">
        <f>23.0197 * CHOOSE(CONTROL!$C$15, $D$11, 100%, $F$11)</f>
        <v>23.0197</v>
      </c>
      <c r="J758" s="4">
        <f>22.9424 * CHOOSE(CONTROL!$C$15, $D$11, 100%, $F$11)</f>
        <v>22.942399999999999</v>
      </c>
      <c r="K758" s="4"/>
      <c r="L758" s="9">
        <v>28.921800000000001</v>
      </c>
      <c r="M758" s="9">
        <v>12.063700000000001</v>
      </c>
      <c r="N758" s="9">
        <v>4.9444999999999997</v>
      </c>
      <c r="O758" s="9">
        <v>0.37459999999999999</v>
      </c>
      <c r="P758" s="9">
        <v>1.2192000000000001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25.8279 * CHOOSE(CONTROL!$C$15, $D$11, 100%, $F$11)</f>
        <v>25.8279</v>
      </c>
      <c r="C759" s="8">
        <f>25.8384 * CHOOSE(CONTROL!$C$15, $D$11, 100%, $F$11)</f>
        <v>25.8384</v>
      </c>
      <c r="D759" s="8">
        <f>25.8221 * CHOOSE( CONTROL!$C$15, $D$11, 100%, $F$11)</f>
        <v>25.822099999999999</v>
      </c>
      <c r="E759" s="12">
        <f>25.8269 * CHOOSE( CONTROL!$C$15, $D$11, 100%, $F$11)</f>
        <v>25.826899999999998</v>
      </c>
      <c r="F759" s="4">
        <f>26.8221 * CHOOSE(CONTROL!$C$15, $D$11, 100%, $F$11)</f>
        <v>26.822099999999999</v>
      </c>
      <c r="G759" s="8">
        <f>25.1896 * CHOOSE( CONTROL!$C$15, $D$11, 100%, $F$11)</f>
        <v>25.189599999999999</v>
      </c>
      <c r="H759" s="4">
        <f>26.0692 * CHOOSE(CONTROL!$C$15, $D$11, 100%, $F$11)</f>
        <v>26.069199999999999</v>
      </c>
      <c r="I759" s="8">
        <f>24.8587 * CHOOSE(CONTROL!$C$15, $D$11, 100%, $F$11)</f>
        <v>24.858699999999999</v>
      </c>
      <c r="J759" s="4">
        <f>24.7436 * CHOOSE(CONTROL!$C$15, $D$11, 100%, $F$11)</f>
        <v>24.743600000000001</v>
      </c>
      <c r="K759" s="4"/>
      <c r="L759" s="9">
        <v>26.515499999999999</v>
      </c>
      <c r="M759" s="9">
        <v>11.6745</v>
      </c>
      <c r="N759" s="9">
        <v>4.7850000000000001</v>
      </c>
      <c r="O759" s="9">
        <v>0.36249999999999999</v>
      </c>
      <c r="P759" s="9">
        <v>1.2522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25.781 * CHOOSE(CONTROL!$C$15, $D$11, 100%, $F$11)</f>
        <v>25.780999999999999</v>
      </c>
      <c r="C760" s="8">
        <f>25.7914 * CHOOSE(CONTROL!$C$15, $D$11, 100%, $F$11)</f>
        <v>25.791399999999999</v>
      </c>
      <c r="D760" s="8">
        <f>25.7774 * CHOOSE( CONTROL!$C$15, $D$11, 100%, $F$11)</f>
        <v>25.7774</v>
      </c>
      <c r="E760" s="12">
        <f>25.7814 * CHOOSE( CONTROL!$C$15, $D$11, 100%, $F$11)</f>
        <v>25.781400000000001</v>
      </c>
      <c r="F760" s="4">
        <f>26.7752 * CHOOSE(CONTROL!$C$15, $D$11, 100%, $F$11)</f>
        <v>26.775200000000002</v>
      </c>
      <c r="G760" s="8">
        <f>25.1455 * CHOOSE( CONTROL!$C$15, $D$11, 100%, $F$11)</f>
        <v>25.145499999999998</v>
      </c>
      <c r="H760" s="4">
        <f>26.0234 * CHOOSE(CONTROL!$C$15, $D$11, 100%, $F$11)</f>
        <v>26.023399999999999</v>
      </c>
      <c r="I760" s="8">
        <f>24.8212 * CHOOSE(CONTROL!$C$15, $D$11, 100%, $F$11)</f>
        <v>24.821200000000001</v>
      </c>
      <c r="J760" s="4">
        <f>24.6986 * CHOOSE(CONTROL!$C$15, $D$11, 100%, $F$11)</f>
        <v>24.698599999999999</v>
      </c>
      <c r="K760" s="4"/>
      <c r="L760" s="9">
        <v>27.3993</v>
      </c>
      <c r="M760" s="9">
        <v>12.063700000000001</v>
      </c>
      <c r="N760" s="9">
        <v>4.9444999999999997</v>
      </c>
      <c r="O760" s="9">
        <v>0.37459999999999999</v>
      </c>
      <c r="P760" s="9">
        <v>1.2939000000000001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26.7661 * CHOOSE(CONTROL!$C$15, $D$11, 100%, $F$11)</f>
        <v>26.766100000000002</v>
      </c>
      <c r="C761" s="8">
        <f>26.7765 * CHOOSE(CONTROL!$C$15, $D$11, 100%, $F$11)</f>
        <v>26.776499999999999</v>
      </c>
      <c r="D761" s="8">
        <f>26.7759 * CHOOSE( CONTROL!$C$15, $D$11, 100%, $F$11)</f>
        <v>26.7759</v>
      </c>
      <c r="E761" s="12">
        <f>26.775 * CHOOSE( CONTROL!$C$15, $D$11, 100%, $F$11)</f>
        <v>26.774999999999999</v>
      </c>
      <c r="F761" s="4">
        <f>27.789 * CHOOSE(CONTROL!$C$15, $D$11, 100%, $F$11)</f>
        <v>27.789000000000001</v>
      </c>
      <c r="G761" s="8">
        <f>26.1194 * CHOOSE( CONTROL!$C$15, $D$11, 100%, $F$11)</f>
        <v>26.119399999999999</v>
      </c>
      <c r="H761" s="4">
        <f>27.0117 * CHOOSE(CONTROL!$C$15, $D$11, 100%, $F$11)</f>
        <v>27.011700000000001</v>
      </c>
      <c r="I761" s="8">
        <f>25.7639 * CHOOSE(CONTROL!$C$15, $D$11, 100%, $F$11)</f>
        <v>25.7639</v>
      </c>
      <c r="J761" s="4">
        <f>25.6425 * CHOOSE(CONTROL!$C$15, $D$11, 100%, $F$11)</f>
        <v>25.642499999999998</v>
      </c>
      <c r="K761" s="4"/>
      <c r="L761" s="9">
        <v>27.3993</v>
      </c>
      <c r="M761" s="9">
        <v>12.063700000000001</v>
      </c>
      <c r="N761" s="9">
        <v>4.9444999999999997</v>
      </c>
      <c r="O761" s="9">
        <v>0.37459999999999999</v>
      </c>
      <c r="P761" s="9">
        <v>1.2939000000000001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25.036 * CHOOSE(CONTROL!$C$15, $D$11, 100%, $F$11)</f>
        <v>25.036000000000001</v>
      </c>
      <c r="C762" s="8">
        <f>25.0465 * CHOOSE(CONTROL!$C$15, $D$11, 100%, $F$11)</f>
        <v>25.046500000000002</v>
      </c>
      <c r="D762" s="8">
        <f>25.048 * CHOOSE( CONTROL!$C$15, $D$11, 100%, $F$11)</f>
        <v>25.047999999999998</v>
      </c>
      <c r="E762" s="12">
        <f>25.0463 * CHOOSE( CONTROL!$C$15, $D$11, 100%, $F$11)</f>
        <v>25.046299999999999</v>
      </c>
      <c r="F762" s="4">
        <f>26.0511 * CHOOSE(CONTROL!$C$15, $D$11, 100%, $F$11)</f>
        <v>26.051100000000002</v>
      </c>
      <c r="G762" s="8">
        <f>24.4327 * CHOOSE( CONTROL!$C$15, $D$11, 100%, $F$11)</f>
        <v>24.432700000000001</v>
      </c>
      <c r="H762" s="4">
        <f>25.3176 * CHOOSE(CONTROL!$C$15, $D$11, 100%, $F$11)</f>
        <v>25.317599999999999</v>
      </c>
      <c r="I762" s="8">
        <f>24.0944 * CHOOSE(CONTROL!$C$15, $D$11, 100%, $F$11)</f>
        <v>24.0944</v>
      </c>
      <c r="J762" s="4">
        <f>23.9848 * CHOOSE(CONTROL!$C$15, $D$11, 100%, $F$11)</f>
        <v>23.9848</v>
      </c>
      <c r="K762" s="4"/>
      <c r="L762" s="9">
        <v>24.747800000000002</v>
      </c>
      <c r="M762" s="9">
        <v>10.8962</v>
      </c>
      <c r="N762" s="9">
        <v>4.4660000000000002</v>
      </c>
      <c r="O762" s="9">
        <v>0.33829999999999999</v>
      </c>
      <c r="P762" s="9">
        <v>1.1687000000000001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24.5032 * CHOOSE(CONTROL!$C$15, $D$11, 100%, $F$11)</f>
        <v>24.5032</v>
      </c>
      <c r="C763" s="8">
        <f>24.5136 * CHOOSE(CONTROL!$C$15, $D$11, 100%, $F$11)</f>
        <v>24.5136</v>
      </c>
      <c r="D763" s="8">
        <f>24.4946 * CHOOSE( CONTROL!$C$15, $D$11, 100%, $F$11)</f>
        <v>24.494599999999998</v>
      </c>
      <c r="E763" s="12">
        <f>24.5004 * CHOOSE( CONTROL!$C$15, $D$11, 100%, $F$11)</f>
        <v>24.500399999999999</v>
      </c>
      <c r="F763" s="4">
        <f>25.5021 * CHOOSE(CONTROL!$C$15, $D$11, 100%, $F$11)</f>
        <v>25.502099999999999</v>
      </c>
      <c r="G763" s="8">
        <f>23.8926 * CHOOSE( CONTROL!$C$15, $D$11, 100%, $F$11)</f>
        <v>23.892600000000002</v>
      </c>
      <c r="H763" s="4">
        <f>24.7825 * CHOOSE(CONTROL!$C$15, $D$11, 100%, $F$11)</f>
        <v>24.782499999999999</v>
      </c>
      <c r="I763" s="8">
        <f>23.5441 * CHOOSE(CONTROL!$C$15, $D$11, 100%, $F$11)</f>
        <v>23.5441</v>
      </c>
      <c r="J763" s="4">
        <f>23.4742 * CHOOSE(CONTROL!$C$15, $D$11, 100%, $F$11)</f>
        <v>23.4742</v>
      </c>
      <c r="K763" s="4"/>
      <c r="L763" s="9">
        <v>27.3993</v>
      </c>
      <c r="M763" s="9">
        <v>12.063700000000001</v>
      </c>
      <c r="N763" s="9">
        <v>4.9444999999999997</v>
      </c>
      <c r="O763" s="9">
        <v>0.37459999999999999</v>
      </c>
      <c r="P763" s="9">
        <v>1.2939000000000001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24.8755 * CHOOSE(CONTROL!$C$15, $D$11, 100%, $F$11)</f>
        <v>24.875499999999999</v>
      </c>
      <c r="C764" s="8">
        <f>24.886 * CHOOSE(CONTROL!$C$15, $D$11, 100%, $F$11)</f>
        <v>24.885999999999999</v>
      </c>
      <c r="D764" s="8">
        <f>24.89 * CHOOSE( CONTROL!$C$15, $D$11, 100%, $F$11)</f>
        <v>24.89</v>
      </c>
      <c r="E764" s="12">
        <f>24.8875 * CHOOSE( CONTROL!$C$15, $D$11, 100%, $F$11)</f>
        <v>24.887499999999999</v>
      </c>
      <c r="F764" s="4">
        <f>25.8828 * CHOOSE(CONTROL!$C$15, $D$11, 100%, $F$11)</f>
        <v>25.8828</v>
      </c>
      <c r="G764" s="8">
        <f>24.2439 * CHOOSE( CONTROL!$C$15, $D$11, 100%, $F$11)</f>
        <v>24.2439</v>
      </c>
      <c r="H764" s="4">
        <f>25.1535 * CHOOSE(CONTROL!$C$15, $D$11, 100%, $F$11)</f>
        <v>25.153500000000001</v>
      </c>
      <c r="I764" s="8">
        <f>23.8911 * CHOOSE(CONTROL!$C$15, $D$11, 100%, $F$11)</f>
        <v>23.891100000000002</v>
      </c>
      <c r="J764" s="4">
        <f>23.831 * CHOOSE(CONTROL!$C$15, $D$11, 100%, $F$11)</f>
        <v>23.831</v>
      </c>
      <c r="K764" s="4"/>
      <c r="L764" s="9">
        <v>27.988800000000001</v>
      </c>
      <c r="M764" s="9">
        <v>11.6745</v>
      </c>
      <c r="N764" s="9">
        <v>4.7850000000000001</v>
      </c>
      <c r="O764" s="9">
        <v>0.36249999999999999</v>
      </c>
      <c r="P764" s="9">
        <v>1.1798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CONTROL!$C$32, 25.5435, 25.5382) * CHOOSE(CONTROL!$C$15, $D$11, 100%, $F$11)</f>
        <v>25.543500000000002</v>
      </c>
      <c r="C765" s="8">
        <f>CHOOSE( CONTROL!$C$32, 25.5539, 25.5487) * CHOOSE(CONTROL!$C$15, $D$11, 100%, $F$11)</f>
        <v>25.553899999999999</v>
      </c>
      <c r="D765" s="8">
        <f>CHOOSE( CONTROL!$C$32, 25.5667, 25.5615) * CHOOSE( CONTROL!$C$15, $D$11, 100%, $F$11)</f>
        <v>25.566700000000001</v>
      </c>
      <c r="E765" s="12">
        <f>CHOOSE( CONTROL!$C$32, 25.5605, 25.5553) * CHOOSE( CONTROL!$C$15, $D$11, 100%, $F$11)</f>
        <v>25.560500000000001</v>
      </c>
      <c r="F765" s="4">
        <f>CHOOSE( CONTROL!$C$32, 26.5664, 26.5611) * CHOOSE(CONTROL!$C$15, $D$11, 100%, $F$11)</f>
        <v>26.566400000000002</v>
      </c>
      <c r="G765" s="8">
        <f>CHOOSE( CONTROL!$C$32, 24.9006, 24.8955) * CHOOSE( CONTROL!$C$15, $D$11, 100%, $F$11)</f>
        <v>24.900600000000001</v>
      </c>
      <c r="H765" s="4">
        <f>CHOOSE( CONTROL!$C$32, 25.8199, 25.8148) * CHOOSE(CONTROL!$C$15, $D$11, 100%, $F$11)</f>
        <v>25.819900000000001</v>
      </c>
      <c r="I765" s="8">
        <f>CHOOSE( CONTROL!$C$32, 24.5368, 24.5317) * CHOOSE(CONTROL!$C$15, $D$11, 100%, $F$11)</f>
        <v>24.536799999999999</v>
      </c>
      <c r="J765" s="4">
        <f>CHOOSE( CONTROL!$C$32, 24.471, 24.466) * CHOOSE(CONTROL!$C$15, $D$11, 100%, $F$11)</f>
        <v>24.471</v>
      </c>
      <c r="K765" s="4"/>
      <c r="L765" s="9">
        <v>29.520499999999998</v>
      </c>
      <c r="M765" s="9">
        <v>12.063700000000001</v>
      </c>
      <c r="N765" s="9">
        <v>4.9444999999999997</v>
      </c>
      <c r="O765" s="9">
        <v>0.37459999999999999</v>
      </c>
      <c r="P765" s="9">
        <v>1.2192000000000001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CONTROL!$C$32, 25.133, 25.1277) * CHOOSE(CONTROL!$C$15, $D$11, 100%, $F$11)</f>
        <v>25.132999999999999</v>
      </c>
      <c r="C766" s="8">
        <f>CHOOSE( CONTROL!$C$32, 25.1434, 25.1381) * CHOOSE(CONTROL!$C$15, $D$11, 100%, $F$11)</f>
        <v>25.1434</v>
      </c>
      <c r="D766" s="8">
        <f>CHOOSE( CONTROL!$C$32, 25.1638, 25.1586) * CHOOSE( CONTROL!$C$15, $D$11, 100%, $F$11)</f>
        <v>25.163799999999998</v>
      </c>
      <c r="E766" s="12">
        <f>CHOOSE( CONTROL!$C$32, 25.1548, 25.1496) * CHOOSE( CONTROL!$C$15, $D$11, 100%, $F$11)</f>
        <v>25.154800000000002</v>
      </c>
      <c r="F766" s="4">
        <f>CHOOSE( CONTROL!$C$32, 26.1684, 26.1631) * CHOOSE(CONTROL!$C$15, $D$11, 100%, $F$11)</f>
        <v>26.168399999999998</v>
      </c>
      <c r="G766" s="8">
        <f>CHOOSE( CONTROL!$C$32, 24.5043, 24.4992) * CHOOSE( CONTROL!$C$15, $D$11, 100%, $F$11)</f>
        <v>24.504300000000001</v>
      </c>
      <c r="H766" s="4">
        <f>CHOOSE( CONTROL!$C$32, 25.432, 25.4268) * CHOOSE(CONTROL!$C$15, $D$11, 100%, $F$11)</f>
        <v>25.431999999999999</v>
      </c>
      <c r="I766" s="8">
        <f>CHOOSE( CONTROL!$C$32, 24.1485, 24.1434) * CHOOSE(CONTROL!$C$15, $D$11, 100%, $F$11)</f>
        <v>24.148499999999999</v>
      </c>
      <c r="J766" s="4">
        <f>CHOOSE( CONTROL!$C$32, 24.0776, 24.0726) * CHOOSE(CONTROL!$C$15, $D$11, 100%, $F$11)</f>
        <v>24.0776</v>
      </c>
      <c r="K766" s="4"/>
      <c r="L766" s="9">
        <v>28.568200000000001</v>
      </c>
      <c r="M766" s="9">
        <v>11.6745</v>
      </c>
      <c r="N766" s="9">
        <v>4.7850000000000001</v>
      </c>
      <c r="O766" s="9">
        <v>0.36249999999999999</v>
      </c>
      <c r="P766" s="9">
        <v>1.1798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CONTROL!$C$32, 26.214, 26.2087) * CHOOSE(CONTROL!$C$15, $D$11, 100%, $F$11)</f>
        <v>26.213999999999999</v>
      </c>
      <c r="C767" s="8">
        <f>CHOOSE( CONTROL!$C$32, 26.2244, 26.2192) * CHOOSE(CONTROL!$C$15, $D$11, 100%, $F$11)</f>
        <v>26.224399999999999</v>
      </c>
      <c r="D767" s="8">
        <f>CHOOSE( CONTROL!$C$32, 26.235, 26.2298) * CHOOSE( CONTROL!$C$15, $D$11, 100%, $F$11)</f>
        <v>26.234999999999999</v>
      </c>
      <c r="E767" s="12">
        <f>CHOOSE( CONTROL!$C$32, 26.2296, 26.2244) * CHOOSE( CONTROL!$C$15, $D$11, 100%, $F$11)</f>
        <v>26.229600000000001</v>
      </c>
      <c r="F767" s="4">
        <f>CHOOSE( CONTROL!$C$32, 27.2494, 27.2442) * CHOOSE(CONTROL!$C$15, $D$11, 100%, $F$11)</f>
        <v>27.249400000000001</v>
      </c>
      <c r="G767" s="8">
        <f>CHOOSE( CONTROL!$C$32, 25.5449, 25.5397) * CHOOSE( CONTROL!$C$15, $D$11, 100%, $F$11)</f>
        <v>25.544899999999998</v>
      </c>
      <c r="H767" s="4">
        <f>CHOOSE( CONTROL!$C$32, 26.4857, 26.4806) * CHOOSE(CONTROL!$C$15, $D$11, 100%, $F$11)</f>
        <v>26.485700000000001</v>
      </c>
      <c r="I767" s="8">
        <f>CHOOSE( CONTROL!$C$32, 25.1882, 25.1832) * CHOOSE(CONTROL!$C$15, $D$11, 100%, $F$11)</f>
        <v>25.188199999999998</v>
      </c>
      <c r="J767" s="4">
        <f>CHOOSE( CONTROL!$C$32, 25.1135, 25.1085) * CHOOSE(CONTROL!$C$15, $D$11, 100%, $F$11)</f>
        <v>25.113499999999998</v>
      </c>
      <c r="K767" s="4"/>
      <c r="L767" s="9">
        <v>29.520499999999998</v>
      </c>
      <c r="M767" s="9">
        <v>12.063700000000001</v>
      </c>
      <c r="N767" s="9">
        <v>4.9444999999999997</v>
      </c>
      <c r="O767" s="9">
        <v>0.37459999999999999</v>
      </c>
      <c r="P767" s="9">
        <v>1.2192000000000001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CONTROL!$C$32, 24.1913, 24.186) * CHOOSE(CONTROL!$C$15, $D$11, 100%, $F$11)</f>
        <v>24.191299999999998</v>
      </c>
      <c r="C768" s="8">
        <f>CHOOSE( CONTROL!$C$32, 24.2017, 24.1964) * CHOOSE(CONTROL!$C$15, $D$11, 100%, $F$11)</f>
        <v>24.201699999999999</v>
      </c>
      <c r="D768" s="8">
        <f>CHOOSE( CONTROL!$C$32, 24.2126, 24.2074) * CHOOSE( CONTROL!$C$15, $D$11, 100%, $F$11)</f>
        <v>24.212599999999998</v>
      </c>
      <c r="E768" s="12">
        <f>CHOOSE( CONTROL!$C$32, 24.2071, 24.2018) * CHOOSE( CONTROL!$C$15, $D$11, 100%, $F$11)</f>
        <v>24.207100000000001</v>
      </c>
      <c r="F768" s="4">
        <f>CHOOSE( CONTROL!$C$32, 25.2267, 25.2214) * CHOOSE(CONTROL!$C$15, $D$11, 100%, $F$11)</f>
        <v>25.226700000000001</v>
      </c>
      <c r="G768" s="8">
        <f>CHOOSE( CONTROL!$C$32, 23.5736, 23.5685) * CHOOSE( CONTROL!$C$15, $D$11, 100%, $F$11)</f>
        <v>23.573599999999999</v>
      </c>
      <c r="H768" s="4">
        <f>CHOOSE( CONTROL!$C$32, 24.514, 24.5089) * CHOOSE(CONTROL!$C$15, $D$11, 100%, $F$11)</f>
        <v>24.513999999999999</v>
      </c>
      <c r="I768" s="8">
        <f>CHOOSE( CONTROL!$C$32, 23.2507, 23.2456) * CHOOSE(CONTROL!$C$15, $D$11, 100%, $F$11)</f>
        <v>23.250699999999998</v>
      </c>
      <c r="J768" s="4">
        <f>CHOOSE( CONTROL!$C$32, 23.1753, 23.1703) * CHOOSE(CONTROL!$C$15, $D$11, 100%, $F$11)</f>
        <v>23.1753</v>
      </c>
      <c r="K768" s="4"/>
      <c r="L768" s="9">
        <v>29.520499999999998</v>
      </c>
      <c r="M768" s="9">
        <v>12.063700000000001</v>
      </c>
      <c r="N768" s="9">
        <v>4.9444999999999997</v>
      </c>
      <c r="O768" s="9">
        <v>0.37459999999999999</v>
      </c>
      <c r="P768" s="9">
        <v>1.2192000000000001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CONTROL!$C$32, 23.6847, 23.6795) * CHOOSE(CONTROL!$C$15, $D$11, 100%, $F$11)</f>
        <v>23.684699999999999</v>
      </c>
      <c r="C769" s="8">
        <f>CHOOSE( CONTROL!$C$32, 23.6952, 23.6899) * CHOOSE(CONTROL!$C$15, $D$11, 100%, $F$11)</f>
        <v>23.6952</v>
      </c>
      <c r="D769" s="8">
        <f>CHOOSE( CONTROL!$C$32, 23.7063, 23.701) * CHOOSE( CONTROL!$C$15, $D$11, 100%, $F$11)</f>
        <v>23.706299999999999</v>
      </c>
      <c r="E769" s="12">
        <f>CHOOSE( CONTROL!$C$32, 23.7007, 23.6954) * CHOOSE( CONTROL!$C$15, $D$11, 100%, $F$11)</f>
        <v>23.700700000000001</v>
      </c>
      <c r="F769" s="4">
        <f>CHOOSE( CONTROL!$C$32, 24.7202, 24.7149) * CHOOSE(CONTROL!$C$15, $D$11, 100%, $F$11)</f>
        <v>24.720199999999998</v>
      </c>
      <c r="G769" s="8">
        <f>CHOOSE( CONTROL!$C$32, 23.0801, 23.075) * CHOOSE( CONTROL!$C$15, $D$11, 100%, $F$11)</f>
        <v>23.080100000000002</v>
      </c>
      <c r="H769" s="4">
        <f>CHOOSE( CONTROL!$C$32, 24.0203, 24.0151) * CHOOSE(CONTROL!$C$15, $D$11, 100%, $F$11)</f>
        <v>24.020299999999999</v>
      </c>
      <c r="I769" s="8">
        <f>CHOOSE( CONTROL!$C$32, 22.7658, 22.7607) * CHOOSE(CONTROL!$C$15, $D$11, 100%, $F$11)</f>
        <v>22.765799999999999</v>
      </c>
      <c r="J769" s="4">
        <f>CHOOSE( CONTROL!$C$32, 22.69, 22.6849) * CHOOSE(CONTROL!$C$15, $D$11, 100%, $F$11)</f>
        <v>22.69</v>
      </c>
      <c r="K769" s="4"/>
      <c r="L769" s="9">
        <v>28.568200000000001</v>
      </c>
      <c r="M769" s="9">
        <v>11.6745</v>
      </c>
      <c r="N769" s="9">
        <v>4.7850000000000001</v>
      </c>
      <c r="O769" s="9">
        <v>0.36249999999999999</v>
      </c>
      <c r="P769" s="9">
        <v>1.1798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24.7312 * CHOOSE(CONTROL!$C$15, $D$11, 100%, $F$11)</f>
        <v>24.731200000000001</v>
      </c>
      <c r="C770" s="8">
        <f>24.7416 * CHOOSE(CONTROL!$C$15, $D$11, 100%, $F$11)</f>
        <v>24.741599999999998</v>
      </c>
      <c r="D770" s="8">
        <f>24.754 * CHOOSE( CONTROL!$C$15, $D$11, 100%, $F$11)</f>
        <v>24.754000000000001</v>
      </c>
      <c r="E770" s="12">
        <f>24.7488 * CHOOSE( CONTROL!$C$15, $D$11, 100%, $F$11)</f>
        <v>24.748799999999999</v>
      </c>
      <c r="F770" s="4">
        <f>25.7666 * CHOOSE(CONTROL!$C$15, $D$11, 100%, $F$11)</f>
        <v>25.7666</v>
      </c>
      <c r="G770" s="8">
        <f>24.0995 * CHOOSE( CONTROL!$C$15, $D$11, 100%, $F$11)</f>
        <v>24.099499999999999</v>
      </c>
      <c r="H770" s="4">
        <f>25.0403 * CHOOSE(CONTROL!$C$15, $D$11, 100%, $F$11)</f>
        <v>25.040299999999998</v>
      </c>
      <c r="I770" s="8">
        <f>23.7704 * CHOOSE(CONTROL!$C$15, $D$11, 100%, $F$11)</f>
        <v>23.770399999999999</v>
      </c>
      <c r="J770" s="4">
        <f>23.6927 * CHOOSE(CONTROL!$C$15, $D$11, 100%, $F$11)</f>
        <v>23.692699999999999</v>
      </c>
      <c r="K770" s="4"/>
      <c r="L770" s="9">
        <v>28.921800000000001</v>
      </c>
      <c r="M770" s="9">
        <v>12.063700000000001</v>
      </c>
      <c r="N770" s="9">
        <v>4.9444999999999997</v>
      </c>
      <c r="O770" s="9">
        <v>0.37459999999999999</v>
      </c>
      <c r="P770" s="9">
        <v>1.2192000000000001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26.6724 * CHOOSE(CONTROL!$C$15, $D$11, 100%, $F$11)</f>
        <v>26.6724</v>
      </c>
      <c r="C771" s="8">
        <f>26.6829 * CHOOSE(CONTROL!$C$15, $D$11, 100%, $F$11)</f>
        <v>26.6829</v>
      </c>
      <c r="D771" s="8">
        <f>26.6666 * CHOOSE( CONTROL!$C$15, $D$11, 100%, $F$11)</f>
        <v>26.666599999999999</v>
      </c>
      <c r="E771" s="12">
        <f>26.6714 * CHOOSE( CONTROL!$C$15, $D$11, 100%, $F$11)</f>
        <v>26.671399999999998</v>
      </c>
      <c r="F771" s="4">
        <f>27.6666 * CHOOSE(CONTROL!$C$15, $D$11, 100%, $F$11)</f>
        <v>27.666599999999999</v>
      </c>
      <c r="G771" s="8">
        <f>26.0128 * CHOOSE( CONTROL!$C$15, $D$11, 100%, $F$11)</f>
        <v>26.012799999999999</v>
      </c>
      <c r="H771" s="4">
        <f>26.8924 * CHOOSE(CONTROL!$C$15, $D$11, 100%, $F$11)</f>
        <v>26.892399999999999</v>
      </c>
      <c r="I771" s="8">
        <f>25.6683 * CHOOSE(CONTROL!$C$15, $D$11, 100%, $F$11)</f>
        <v>25.668299999999999</v>
      </c>
      <c r="J771" s="4">
        <f>25.5528 * CHOOSE(CONTROL!$C$15, $D$11, 100%, $F$11)</f>
        <v>25.552800000000001</v>
      </c>
      <c r="K771" s="4"/>
      <c r="L771" s="9">
        <v>26.515499999999999</v>
      </c>
      <c r="M771" s="9">
        <v>11.6745</v>
      </c>
      <c r="N771" s="9">
        <v>4.7850000000000001</v>
      </c>
      <c r="O771" s="9">
        <v>0.36249999999999999</v>
      </c>
      <c r="P771" s="9">
        <v>1.2522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26.6239 * CHOOSE(CONTROL!$C$15, $D$11, 100%, $F$11)</f>
        <v>26.623899999999999</v>
      </c>
      <c r="C772" s="8">
        <f>26.6344 * CHOOSE(CONTROL!$C$15, $D$11, 100%, $F$11)</f>
        <v>26.634399999999999</v>
      </c>
      <c r="D772" s="8">
        <f>26.6204 * CHOOSE( CONTROL!$C$15, $D$11, 100%, $F$11)</f>
        <v>26.6204</v>
      </c>
      <c r="E772" s="12">
        <f>26.6244 * CHOOSE( CONTROL!$C$15, $D$11, 100%, $F$11)</f>
        <v>26.624400000000001</v>
      </c>
      <c r="F772" s="4">
        <f>27.6181 * CHOOSE(CONTROL!$C$15, $D$11, 100%, $F$11)</f>
        <v>27.618099999999998</v>
      </c>
      <c r="G772" s="8">
        <f>25.9672 * CHOOSE( CONTROL!$C$15, $D$11, 100%, $F$11)</f>
        <v>25.967199999999998</v>
      </c>
      <c r="H772" s="4">
        <f>26.8451 * CHOOSE(CONTROL!$C$15, $D$11, 100%, $F$11)</f>
        <v>26.845099999999999</v>
      </c>
      <c r="I772" s="8">
        <f>25.6294 * CHOOSE(CONTROL!$C$15, $D$11, 100%, $F$11)</f>
        <v>25.6294</v>
      </c>
      <c r="J772" s="4">
        <f>25.5063 * CHOOSE(CONTROL!$C$15, $D$11, 100%, $F$11)</f>
        <v>25.5063</v>
      </c>
      <c r="K772" s="4"/>
      <c r="L772" s="9">
        <v>27.3993</v>
      </c>
      <c r="M772" s="9">
        <v>12.063700000000001</v>
      </c>
      <c r="N772" s="9">
        <v>4.9444999999999997</v>
      </c>
      <c r="O772" s="9">
        <v>0.37459999999999999</v>
      </c>
      <c r="P772" s="9">
        <v>1.2939000000000001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27.6413 * CHOOSE(CONTROL!$C$15, $D$11, 100%, $F$11)</f>
        <v>27.641300000000001</v>
      </c>
      <c r="C773" s="8">
        <f>27.6517 * CHOOSE(CONTROL!$C$15, $D$11, 100%, $F$11)</f>
        <v>27.651700000000002</v>
      </c>
      <c r="D773" s="8">
        <f>27.651 * CHOOSE( CONTROL!$C$15, $D$11, 100%, $F$11)</f>
        <v>27.651</v>
      </c>
      <c r="E773" s="12">
        <f>27.6501 * CHOOSE( CONTROL!$C$15, $D$11, 100%, $F$11)</f>
        <v>27.650099999999998</v>
      </c>
      <c r="F773" s="4">
        <f>28.6642 * CHOOSE(CONTROL!$C$15, $D$11, 100%, $F$11)</f>
        <v>28.664200000000001</v>
      </c>
      <c r="G773" s="8">
        <f>26.9725 * CHOOSE( CONTROL!$C$15, $D$11, 100%, $F$11)</f>
        <v>26.9725</v>
      </c>
      <c r="H773" s="4">
        <f>27.8648 * CHOOSE(CONTROL!$C$15, $D$11, 100%, $F$11)</f>
        <v>27.864799999999999</v>
      </c>
      <c r="I773" s="8">
        <f>26.603 * CHOOSE(CONTROL!$C$15, $D$11, 100%, $F$11)</f>
        <v>26.603000000000002</v>
      </c>
      <c r="J773" s="4">
        <f>26.4811 * CHOOSE(CONTROL!$C$15, $D$11, 100%, $F$11)</f>
        <v>26.481100000000001</v>
      </c>
      <c r="K773" s="4"/>
      <c r="L773" s="9">
        <v>27.3993</v>
      </c>
      <c r="M773" s="9">
        <v>12.063700000000001</v>
      </c>
      <c r="N773" s="9">
        <v>4.9444999999999997</v>
      </c>
      <c r="O773" s="9">
        <v>0.37459999999999999</v>
      </c>
      <c r="P773" s="9">
        <v>1.2939000000000001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25.8546 * CHOOSE(CONTROL!$C$15, $D$11, 100%, $F$11)</f>
        <v>25.854600000000001</v>
      </c>
      <c r="C774" s="8">
        <f>25.8651 * CHOOSE(CONTROL!$C$15, $D$11, 100%, $F$11)</f>
        <v>25.865100000000002</v>
      </c>
      <c r="D774" s="8">
        <f>25.8666 * CHOOSE( CONTROL!$C$15, $D$11, 100%, $F$11)</f>
        <v>25.866599999999998</v>
      </c>
      <c r="E774" s="12">
        <f>25.8649 * CHOOSE( CONTROL!$C$15, $D$11, 100%, $F$11)</f>
        <v>25.864899999999999</v>
      </c>
      <c r="F774" s="4">
        <f>26.8697 * CHOOSE(CONTROL!$C$15, $D$11, 100%, $F$11)</f>
        <v>26.869700000000002</v>
      </c>
      <c r="G774" s="8">
        <f>25.2307 * CHOOSE( CONTROL!$C$15, $D$11, 100%, $F$11)</f>
        <v>25.230699999999999</v>
      </c>
      <c r="H774" s="4">
        <f>26.1156 * CHOOSE(CONTROL!$C$15, $D$11, 100%, $F$11)</f>
        <v>26.115600000000001</v>
      </c>
      <c r="I774" s="8">
        <f>24.8792 * CHOOSE(CONTROL!$C$15, $D$11, 100%, $F$11)</f>
        <v>24.879200000000001</v>
      </c>
      <c r="J774" s="4">
        <f>24.7692 * CHOOSE(CONTROL!$C$15, $D$11, 100%, $F$11)</f>
        <v>24.769200000000001</v>
      </c>
      <c r="K774" s="4"/>
      <c r="L774" s="9">
        <v>24.747800000000002</v>
      </c>
      <c r="M774" s="9">
        <v>10.8962</v>
      </c>
      <c r="N774" s="9">
        <v>4.4660000000000002</v>
      </c>
      <c r="O774" s="9">
        <v>0.33829999999999999</v>
      </c>
      <c r="P774" s="9">
        <v>1.1687000000000001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25.3044 * CHOOSE(CONTROL!$C$15, $D$11, 100%, $F$11)</f>
        <v>25.304400000000001</v>
      </c>
      <c r="C775" s="8">
        <f>25.3148 * CHOOSE(CONTROL!$C$15, $D$11, 100%, $F$11)</f>
        <v>25.314800000000002</v>
      </c>
      <c r="D775" s="8">
        <f>25.2958 * CHOOSE( CONTROL!$C$15, $D$11, 100%, $F$11)</f>
        <v>25.2958</v>
      </c>
      <c r="E775" s="12">
        <f>25.3016 * CHOOSE( CONTROL!$C$15, $D$11, 100%, $F$11)</f>
        <v>25.301600000000001</v>
      </c>
      <c r="F775" s="4">
        <f>26.3033 * CHOOSE(CONTROL!$C$15, $D$11, 100%, $F$11)</f>
        <v>26.3033</v>
      </c>
      <c r="G775" s="8">
        <f>24.6736 * CHOOSE( CONTROL!$C$15, $D$11, 100%, $F$11)</f>
        <v>24.6736</v>
      </c>
      <c r="H775" s="4">
        <f>25.5634 * CHOOSE(CONTROL!$C$15, $D$11, 100%, $F$11)</f>
        <v>25.563400000000001</v>
      </c>
      <c r="I775" s="8">
        <f>24.3122 * CHOOSE(CONTROL!$C$15, $D$11, 100%, $F$11)</f>
        <v>24.312200000000001</v>
      </c>
      <c r="J775" s="4">
        <f>24.2419 * CHOOSE(CONTROL!$C$15, $D$11, 100%, $F$11)</f>
        <v>24.241900000000001</v>
      </c>
      <c r="K775" s="4"/>
      <c r="L775" s="9">
        <v>27.3993</v>
      </c>
      <c r="M775" s="9">
        <v>12.063700000000001</v>
      </c>
      <c r="N775" s="9">
        <v>4.9444999999999997</v>
      </c>
      <c r="O775" s="9">
        <v>0.37459999999999999</v>
      </c>
      <c r="P775" s="9">
        <v>1.2939000000000001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25.6889 * CHOOSE(CONTROL!$C$15, $D$11, 100%, $F$11)</f>
        <v>25.6889</v>
      </c>
      <c r="C776" s="8">
        <f>25.6993 * CHOOSE(CONTROL!$C$15, $D$11, 100%, $F$11)</f>
        <v>25.699300000000001</v>
      </c>
      <c r="D776" s="8">
        <f>25.7033 * CHOOSE( CONTROL!$C$15, $D$11, 100%, $F$11)</f>
        <v>25.703299999999999</v>
      </c>
      <c r="E776" s="12">
        <f>25.7008 * CHOOSE( CONTROL!$C$15, $D$11, 100%, $F$11)</f>
        <v>25.700800000000001</v>
      </c>
      <c r="F776" s="4">
        <f>26.6961 * CHOOSE(CONTROL!$C$15, $D$11, 100%, $F$11)</f>
        <v>26.696100000000001</v>
      </c>
      <c r="G776" s="8">
        <f>25.0368 * CHOOSE( CONTROL!$C$15, $D$11, 100%, $F$11)</f>
        <v>25.036799999999999</v>
      </c>
      <c r="H776" s="4">
        <f>25.9464 * CHOOSE(CONTROL!$C$15, $D$11, 100%, $F$11)</f>
        <v>25.946400000000001</v>
      </c>
      <c r="I776" s="8">
        <f>24.6709 * CHOOSE(CONTROL!$C$15, $D$11, 100%, $F$11)</f>
        <v>24.6709</v>
      </c>
      <c r="J776" s="4">
        <f>24.6103 * CHOOSE(CONTROL!$C$15, $D$11, 100%, $F$11)</f>
        <v>24.610299999999999</v>
      </c>
      <c r="K776" s="4"/>
      <c r="L776" s="9">
        <v>27.988800000000001</v>
      </c>
      <c r="M776" s="9">
        <v>11.6745</v>
      </c>
      <c r="N776" s="9">
        <v>4.7850000000000001</v>
      </c>
      <c r="O776" s="9">
        <v>0.36249999999999999</v>
      </c>
      <c r="P776" s="9">
        <v>1.1798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CONTROL!$C$32, 26.3785, 26.3733) * CHOOSE(CONTROL!$C$15, $D$11, 100%, $F$11)</f>
        <v>26.378499999999999</v>
      </c>
      <c r="C777" s="8">
        <f>CHOOSE( CONTROL!$C$32, 26.3889, 26.3837) * CHOOSE(CONTROL!$C$15, $D$11, 100%, $F$11)</f>
        <v>26.3889</v>
      </c>
      <c r="D777" s="8">
        <f>CHOOSE( CONTROL!$C$32, 26.4018, 26.3965) * CHOOSE( CONTROL!$C$15, $D$11, 100%, $F$11)</f>
        <v>26.401800000000001</v>
      </c>
      <c r="E777" s="12">
        <f>CHOOSE( CONTROL!$C$32, 26.3955, 26.3903) * CHOOSE( CONTROL!$C$15, $D$11, 100%, $F$11)</f>
        <v>26.395499999999998</v>
      </c>
      <c r="F777" s="4">
        <f>CHOOSE( CONTROL!$C$32, 27.4014, 27.3962) * CHOOSE(CONTROL!$C$15, $D$11, 100%, $F$11)</f>
        <v>27.401399999999999</v>
      </c>
      <c r="G777" s="8">
        <f>CHOOSE( CONTROL!$C$32, 25.7146, 25.7095) * CHOOSE( CONTROL!$C$15, $D$11, 100%, $F$11)</f>
        <v>25.714600000000001</v>
      </c>
      <c r="H777" s="4">
        <f>CHOOSE( CONTROL!$C$32, 26.6339, 26.6287) * CHOOSE(CONTROL!$C$15, $D$11, 100%, $F$11)</f>
        <v>26.633900000000001</v>
      </c>
      <c r="I777" s="8">
        <f>CHOOSE( CONTROL!$C$32, 25.3373, 25.3323) * CHOOSE(CONTROL!$C$15, $D$11, 100%, $F$11)</f>
        <v>25.337299999999999</v>
      </c>
      <c r="J777" s="4">
        <f>CHOOSE( CONTROL!$C$32, 25.2711, 25.2661) * CHOOSE(CONTROL!$C$15, $D$11, 100%, $F$11)</f>
        <v>25.271100000000001</v>
      </c>
      <c r="K777" s="4"/>
      <c r="L777" s="9">
        <v>29.520499999999998</v>
      </c>
      <c r="M777" s="9">
        <v>12.063700000000001</v>
      </c>
      <c r="N777" s="9">
        <v>4.9444999999999997</v>
      </c>
      <c r="O777" s="9">
        <v>0.37459999999999999</v>
      </c>
      <c r="P777" s="9">
        <v>1.2192000000000001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CONTROL!$C$32, 25.9546, 25.9493) * CHOOSE(CONTROL!$C$15, $D$11, 100%, $F$11)</f>
        <v>25.954599999999999</v>
      </c>
      <c r="C778" s="8">
        <f>CHOOSE( CONTROL!$C$32, 25.965, 25.9597) * CHOOSE(CONTROL!$C$15, $D$11, 100%, $F$11)</f>
        <v>25.965</v>
      </c>
      <c r="D778" s="8">
        <f>CHOOSE( CONTROL!$C$32, 25.9854, 25.9802) * CHOOSE( CONTROL!$C$15, $D$11, 100%, $F$11)</f>
        <v>25.985399999999998</v>
      </c>
      <c r="E778" s="12">
        <f>CHOOSE( CONTROL!$C$32, 25.9764, 25.9712) * CHOOSE( CONTROL!$C$15, $D$11, 100%, $F$11)</f>
        <v>25.976400000000002</v>
      </c>
      <c r="F778" s="4">
        <f>CHOOSE( CONTROL!$C$32, 26.99, 26.9847) * CHOOSE(CONTROL!$C$15, $D$11, 100%, $F$11)</f>
        <v>26.99</v>
      </c>
      <c r="G778" s="8">
        <f>CHOOSE( CONTROL!$C$32, 25.3052, 25.3001) * CHOOSE( CONTROL!$C$15, $D$11, 100%, $F$11)</f>
        <v>25.305199999999999</v>
      </c>
      <c r="H778" s="4">
        <f>CHOOSE( CONTROL!$C$32, 26.2328, 26.2277) * CHOOSE(CONTROL!$C$15, $D$11, 100%, $F$11)</f>
        <v>26.232800000000001</v>
      </c>
      <c r="I778" s="8">
        <f>CHOOSE( CONTROL!$C$32, 24.9361, 24.9311) * CHOOSE(CONTROL!$C$15, $D$11, 100%, $F$11)</f>
        <v>24.9361</v>
      </c>
      <c r="J778" s="4">
        <f>CHOOSE( CONTROL!$C$32, 24.8649, 24.8599) * CHOOSE(CONTROL!$C$15, $D$11, 100%, $F$11)</f>
        <v>24.864899999999999</v>
      </c>
      <c r="K778" s="4"/>
      <c r="L778" s="9">
        <v>28.568200000000001</v>
      </c>
      <c r="M778" s="9">
        <v>11.6745</v>
      </c>
      <c r="N778" s="9">
        <v>4.7850000000000001</v>
      </c>
      <c r="O778" s="9">
        <v>0.36249999999999999</v>
      </c>
      <c r="P778" s="9">
        <v>1.1798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CONTROL!$C$32, 27.071, 27.0657) * CHOOSE(CONTROL!$C$15, $D$11, 100%, $F$11)</f>
        <v>27.071000000000002</v>
      </c>
      <c r="C779" s="8">
        <f>CHOOSE( CONTROL!$C$32, 27.0814, 27.0761) * CHOOSE(CONTROL!$C$15, $D$11, 100%, $F$11)</f>
        <v>27.081399999999999</v>
      </c>
      <c r="D779" s="8">
        <f>CHOOSE( CONTROL!$C$32, 27.092, 27.0867) * CHOOSE( CONTROL!$C$15, $D$11, 100%, $F$11)</f>
        <v>27.091999999999999</v>
      </c>
      <c r="E779" s="12">
        <f>CHOOSE( CONTROL!$C$32, 27.0866, 27.0813) * CHOOSE( CONTROL!$C$15, $D$11, 100%, $F$11)</f>
        <v>27.086600000000001</v>
      </c>
      <c r="F779" s="4">
        <f>CHOOSE( CONTROL!$C$32, 28.1064, 28.1011) * CHOOSE(CONTROL!$C$15, $D$11, 100%, $F$11)</f>
        <v>28.106400000000001</v>
      </c>
      <c r="G779" s="8">
        <f>CHOOSE( CONTROL!$C$32, 26.3802, 26.3751) * CHOOSE( CONTROL!$C$15, $D$11, 100%, $F$11)</f>
        <v>26.380199999999999</v>
      </c>
      <c r="H779" s="4">
        <f>CHOOSE( CONTROL!$C$32, 27.3211, 27.3159) * CHOOSE(CONTROL!$C$15, $D$11, 100%, $F$11)</f>
        <v>27.321100000000001</v>
      </c>
      <c r="I779" s="8">
        <f>CHOOSE( CONTROL!$C$32, 26.0098, 26.0047) * CHOOSE(CONTROL!$C$15, $D$11, 100%, $F$11)</f>
        <v>26.009799999999998</v>
      </c>
      <c r="J779" s="4">
        <f>CHOOSE( CONTROL!$C$32, 25.9346, 25.9296) * CHOOSE(CONTROL!$C$15, $D$11, 100%, $F$11)</f>
        <v>25.9346</v>
      </c>
      <c r="K779" s="4"/>
      <c r="L779" s="9">
        <v>29.520499999999998</v>
      </c>
      <c r="M779" s="9">
        <v>12.063700000000001</v>
      </c>
      <c r="N779" s="9">
        <v>4.9444999999999997</v>
      </c>
      <c r="O779" s="9">
        <v>0.37459999999999999</v>
      </c>
      <c r="P779" s="9">
        <v>1.2192000000000001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CONTROL!$C$32, 24.9821, 24.9768) * CHOOSE(CONTROL!$C$15, $D$11, 100%, $F$11)</f>
        <v>24.982099999999999</v>
      </c>
      <c r="C780" s="8">
        <f>CHOOSE( CONTROL!$C$32, 24.9925, 24.9872) * CHOOSE(CONTROL!$C$15, $D$11, 100%, $F$11)</f>
        <v>24.9925</v>
      </c>
      <c r="D780" s="8">
        <f>CHOOSE( CONTROL!$C$32, 25.0034, 24.9982) * CHOOSE( CONTROL!$C$15, $D$11, 100%, $F$11)</f>
        <v>25.003399999999999</v>
      </c>
      <c r="E780" s="12">
        <f>CHOOSE( CONTROL!$C$32, 24.9979, 24.9926) * CHOOSE( CONTROL!$C$15, $D$11, 100%, $F$11)</f>
        <v>24.997900000000001</v>
      </c>
      <c r="F780" s="4">
        <f>CHOOSE( CONTROL!$C$32, 26.0175, 26.0122) * CHOOSE(CONTROL!$C$15, $D$11, 100%, $F$11)</f>
        <v>26.017499999999998</v>
      </c>
      <c r="G780" s="8">
        <f>CHOOSE( CONTROL!$C$32, 24.3445, 24.3394) * CHOOSE( CONTROL!$C$15, $D$11, 100%, $F$11)</f>
        <v>24.3445</v>
      </c>
      <c r="H780" s="4">
        <f>CHOOSE( CONTROL!$C$32, 25.2849, 25.2797) * CHOOSE(CONTROL!$C$15, $D$11, 100%, $F$11)</f>
        <v>25.2849</v>
      </c>
      <c r="I780" s="8">
        <f>CHOOSE( CONTROL!$C$32, 24.0088, 24.0038) * CHOOSE(CONTROL!$C$15, $D$11, 100%, $F$11)</f>
        <v>24.008800000000001</v>
      </c>
      <c r="J780" s="4">
        <f>CHOOSE( CONTROL!$C$32, 23.9331, 23.928) * CHOOSE(CONTROL!$C$15, $D$11, 100%, $F$11)</f>
        <v>23.9331</v>
      </c>
      <c r="K780" s="4"/>
      <c r="L780" s="9">
        <v>29.520499999999998</v>
      </c>
      <c r="M780" s="9">
        <v>12.063700000000001</v>
      </c>
      <c r="N780" s="9">
        <v>4.9444999999999997</v>
      </c>
      <c r="O780" s="9">
        <v>0.37459999999999999</v>
      </c>
      <c r="P780" s="9">
        <v>1.2192000000000001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CONTROL!$C$32, 24.459, 24.4537) * CHOOSE(CONTROL!$C$15, $D$11, 100%, $F$11)</f>
        <v>24.459</v>
      </c>
      <c r="C781" s="8">
        <f>CHOOSE( CONTROL!$C$32, 24.4694, 24.4642) * CHOOSE(CONTROL!$C$15, $D$11, 100%, $F$11)</f>
        <v>24.4694</v>
      </c>
      <c r="D781" s="8">
        <f>CHOOSE( CONTROL!$C$32, 24.4805, 24.4752) * CHOOSE( CONTROL!$C$15, $D$11, 100%, $F$11)</f>
        <v>24.480499999999999</v>
      </c>
      <c r="E781" s="12">
        <f>CHOOSE( CONTROL!$C$32, 24.4749, 24.4696) * CHOOSE( CONTROL!$C$15, $D$11, 100%, $F$11)</f>
        <v>24.474900000000002</v>
      </c>
      <c r="F781" s="4">
        <f>CHOOSE( CONTROL!$C$32, 25.4944, 25.4892) * CHOOSE(CONTROL!$C$15, $D$11, 100%, $F$11)</f>
        <v>25.494399999999999</v>
      </c>
      <c r="G781" s="8">
        <f>CHOOSE( CONTROL!$C$32, 23.8348, 23.8297) * CHOOSE( CONTROL!$C$15, $D$11, 100%, $F$11)</f>
        <v>23.834800000000001</v>
      </c>
      <c r="H781" s="4">
        <f>CHOOSE( CONTROL!$C$32, 24.775, 24.7699) * CHOOSE(CONTROL!$C$15, $D$11, 100%, $F$11)</f>
        <v>24.774999999999999</v>
      </c>
      <c r="I781" s="8">
        <f>CHOOSE( CONTROL!$C$32, 23.508, 23.503) * CHOOSE(CONTROL!$C$15, $D$11, 100%, $F$11)</f>
        <v>23.507999999999999</v>
      </c>
      <c r="J781" s="4">
        <f>CHOOSE( CONTROL!$C$32, 23.4318, 23.4268) * CHOOSE(CONTROL!$C$15, $D$11, 100%, $F$11)</f>
        <v>23.431799999999999</v>
      </c>
      <c r="K781" s="4"/>
      <c r="L781" s="9">
        <v>28.568200000000001</v>
      </c>
      <c r="M781" s="9">
        <v>11.6745</v>
      </c>
      <c r="N781" s="9">
        <v>4.7850000000000001</v>
      </c>
      <c r="O781" s="9">
        <v>0.36249999999999999</v>
      </c>
      <c r="P781" s="9">
        <v>1.1798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25.5398 * CHOOSE(CONTROL!$C$15, $D$11, 100%, $F$11)</f>
        <v>25.5398</v>
      </c>
      <c r="C782" s="8">
        <f>25.5503 * CHOOSE(CONTROL!$C$15, $D$11, 100%, $F$11)</f>
        <v>25.5503</v>
      </c>
      <c r="D782" s="8">
        <f>25.5626 * CHOOSE( CONTROL!$C$15, $D$11, 100%, $F$11)</f>
        <v>25.5626</v>
      </c>
      <c r="E782" s="12">
        <f>25.5574 * CHOOSE( CONTROL!$C$15, $D$11, 100%, $F$11)</f>
        <v>25.557400000000001</v>
      </c>
      <c r="F782" s="4">
        <f>26.5753 * CHOOSE(CONTROL!$C$15, $D$11, 100%, $F$11)</f>
        <v>26.575299999999999</v>
      </c>
      <c r="G782" s="8">
        <f>24.8878 * CHOOSE( CONTROL!$C$15, $D$11, 100%, $F$11)</f>
        <v>24.887799999999999</v>
      </c>
      <c r="H782" s="4">
        <f>25.8286 * CHOOSE(CONTROL!$C$15, $D$11, 100%, $F$11)</f>
        <v>25.828600000000002</v>
      </c>
      <c r="I782" s="8">
        <f>24.5456 * CHOOSE(CONTROL!$C$15, $D$11, 100%, $F$11)</f>
        <v>24.5456</v>
      </c>
      <c r="J782" s="4">
        <f>24.4675 * CHOOSE(CONTROL!$C$15, $D$11, 100%, $F$11)</f>
        <v>24.467500000000001</v>
      </c>
      <c r="K782" s="4"/>
      <c r="L782" s="9">
        <v>28.921800000000001</v>
      </c>
      <c r="M782" s="9">
        <v>12.063700000000001</v>
      </c>
      <c r="N782" s="9">
        <v>4.9444999999999997</v>
      </c>
      <c r="O782" s="9">
        <v>0.37459999999999999</v>
      </c>
      <c r="P782" s="9">
        <v>1.2192000000000001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27.5446 * CHOOSE(CONTROL!$C$15, $D$11, 100%, $F$11)</f>
        <v>27.544599999999999</v>
      </c>
      <c r="C783" s="8">
        <f>27.555 * CHOOSE(CONTROL!$C$15, $D$11, 100%, $F$11)</f>
        <v>27.555</v>
      </c>
      <c r="D783" s="8">
        <f>27.5387 * CHOOSE( CONTROL!$C$15, $D$11, 100%, $F$11)</f>
        <v>27.538699999999999</v>
      </c>
      <c r="E783" s="12">
        <f>27.5436 * CHOOSE( CONTROL!$C$15, $D$11, 100%, $F$11)</f>
        <v>27.543600000000001</v>
      </c>
      <c r="F783" s="4">
        <f>28.5388 * CHOOSE(CONTROL!$C$15, $D$11, 100%, $F$11)</f>
        <v>28.538799999999998</v>
      </c>
      <c r="G783" s="8">
        <f>26.8629 * CHOOSE( CONTROL!$C$15, $D$11, 100%, $F$11)</f>
        <v>26.8629</v>
      </c>
      <c r="H783" s="4">
        <f>27.7425 * CHOOSE(CONTROL!$C$15, $D$11, 100%, $F$11)</f>
        <v>27.7425</v>
      </c>
      <c r="I783" s="8">
        <f>26.5044 * CHOOSE(CONTROL!$C$15, $D$11, 100%, $F$11)</f>
        <v>26.5044</v>
      </c>
      <c r="J783" s="4">
        <f>26.3884 * CHOOSE(CONTROL!$C$15, $D$11, 100%, $F$11)</f>
        <v>26.388400000000001</v>
      </c>
      <c r="K783" s="4"/>
      <c r="L783" s="9">
        <v>26.515499999999999</v>
      </c>
      <c r="M783" s="9">
        <v>11.6745</v>
      </c>
      <c r="N783" s="9">
        <v>4.7850000000000001</v>
      </c>
      <c r="O783" s="9">
        <v>0.36249999999999999</v>
      </c>
      <c r="P783" s="9">
        <v>1.2522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27.4945 * CHOOSE(CONTROL!$C$15, $D$11, 100%, $F$11)</f>
        <v>27.494499999999999</v>
      </c>
      <c r="C784" s="8">
        <f>27.5049 * CHOOSE(CONTROL!$C$15, $D$11, 100%, $F$11)</f>
        <v>27.504899999999999</v>
      </c>
      <c r="D784" s="8">
        <f>27.4909 * CHOOSE( CONTROL!$C$15, $D$11, 100%, $F$11)</f>
        <v>27.4909</v>
      </c>
      <c r="E784" s="12">
        <f>27.4949 * CHOOSE( CONTROL!$C$15, $D$11, 100%, $F$11)</f>
        <v>27.494900000000001</v>
      </c>
      <c r="F784" s="4">
        <f>28.4887 * CHOOSE(CONTROL!$C$15, $D$11, 100%, $F$11)</f>
        <v>28.488700000000001</v>
      </c>
      <c r="G784" s="8">
        <f>26.8158 * CHOOSE( CONTROL!$C$15, $D$11, 100%, $F$11)</f>
        <v>26.815799999999999</v>
      </c>
      <c r="H784" s="4">
        <f>27.6937 * CHOOSE(CONTROL!$C$15, $D$11, 100%, $F$11)</f>
        <v>27.6937</v>
      </c>
      <c r="I784" s="8">
        <f>26.4639 * CHOOSE(CONTROL!$C$15, $D$11, 100%, $F$11)</f>
        <v>26.463899999999999</v>
      </c>
      <c r="J784" s="4">
        <f>26.3404 * CHOOSE(CONTROL!$C$15, $D$11, 100%, $F$11)</f>
        <v>26.340399999999999</v>
      </c>
      <c r="K784" s="4"/>
      <c r="L784" s="9">
        <v>27.3993</v>
      </c>
      <c r="M784" s="9">
        <v>12.063700000000001</v>
      </c>
      <c r="N784" s="9">
        <v>4.9444999999999997</v>
      </c>
      <c r="O784" s="9">
        <v>0.37459999999999999</v>
      </c>
      <c r="P784" s="9">
        <v>1.2939000000000001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28.5451 * CHOOSE(CONTROL!$C$15, $D$11, 100%, $F$11)</f>
        <v>28.545100000000001</v>
      </c>
      <c r="C785" s="8">
        <f>28.5555 * CHOOSE(CONTROL!$C$15, $D$11, 100%, $F$11)</f>
        <v>28.555499999999999</v>
      </c>
      <c r="D785" s="8">
        <f>28.5549 * CHOOSE( CONTROL!$C$15, $D$11, 100%, $F$11)</f>
        <v>28.5549</v>
      </c>
      <c r="E785" s="12">
        <f>28.554 * CHOOSE( CONTROL!$C$15, $D$11, 100%, $F$11)</f>
        <v>28.553999999999998</v>
      </c>
      <c r="F785" s="4">
        <f>29.568 * CHOOSE(CONTROL!$C$15, $D$11, 100%, $F$11)</f>
        <v>29.568000000000001</v>
      </c>
      <c r="G785" s="8">
        <f>27.8535 * CHOOSE( CONTROL!$C$15, $D$11, 100%, $F$11)</f>
        <v>27.8535</v>
      </c>
      <c r="H785" s="4">
        <f>28.7458 * CHOOSE(CONTROL!$C$15, $D$11, 100%, $F$11)</f>
        <v>28.745799999999999</v>
      </c>
      <c r="I785" s="8">
        <f>27.4694 * CHOOSE(CONTROL!$C$15, $D$11, 100%, $F$11)</f>
        <v>27.4694</v>
      </c>
      <c r="J785" s="4">
        <f>27.3472 * CHOOSE(CONTROL!$C$15, $D$11, 100%, $F$11)</f>
        <v>27.347200000000001</v>
      </c>
      <c r="K785" s="4"/>
      <c r="L785" s="9">
        <v>27.3993</v>
      </c>
      <c r="M785" s="9">
        <v>12.063700000000001</v>
      </c>
      <c r="N785" s="9">
        <v>4.9444999999999997</v>
      </c>
      <c r="O785" s="9">
        <v>0.37459999999999999</v>
      </c>
      <c r="P785" s="9">
        <v>1.2939000000000001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26.7 * CHOOSE(CONTROL!$C$15, $D$11, 100%, $F$11)</f>
        <v>26.7</v>
      </c>
      <c r="C786" s="8">
        <f>26.7105 * CHOOSE(CONTROL!$C$15, $D$11, 100%, $F$11)</f>
        <v>26.7105</v>
      </c>
      <c r="D786" s="8">
        <f>26.712 * CHOOSE( CONTROL!$C$15, $D$11, 100%, $F$11)</f>
        <v>26.712</v>
      </c>
      <c r="E786" s="12">
        <f>26.7103 * CHOOSE( CONTROL!$C$15, $D$11, 100%, $F$11)</f>
        <v>26.7103</v>
      </c>
      <c r="F786" s="4">
        <f>27.7151 * CHOOSE(CONTROL!$C$15, $D$11, 100%, $F$11)</f>
        <v>27.7151</v>
      </c>
      <c r="G786" s="8">
        <f>26.0547 * CHOOSE( CONTROL!$C$15, $D$11, 100%, $F$11)</f>
        <v>26.0547</v>
      </c>
      <c r="H786" s="4">
        <f>26.9396 * CHOOSE(CONTROL!$C$15, $D$11, 100%, $F$11)</f>
        <v>26.939599999999999</v>
      </c>
      <c r="I786" s="8">
        <f>25.6897 * CHOOSE(CONTROL!$C$15, $D$11, 100%, $F$11)</f>
        <v>25.689699999999998</v>
      </c>
      <c r="J786" s="4">
        <f>25.5792 * CHOOSE(CONTROL!$C$15, $D$11, 100%, $F$11)</f>
        <v>25.5792</v>
      </c>
      <c r="K786" s="4"/>
      <c r="L786" s="9">
        <v>25.631599999999999</v>
      </c>
      <c r="M786" s="9">
        <v>11.285299999999999</v>
      </c>
      <c r="N786" s="9">
        <v>4.6254999999999997</v>
      </c>
      <c r="O786" s="9">
        <v>0.35039999999999999</v>
      </c>
      <c r="P786" s="9">
        <v>1.2104999999999999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26.1317 * CHOOSE(CONTROL!$C$15, $D$11, 100%, $F$11)</f>
        <v>26.131699999999999</v>
      </c>
      <c r="C787" s="8">
        <f>26.1422 * CHOOSE(CONTROL!$C$15, $D$11, 100%, $F$11)</f>
        <v>26.142199999999999</v>
      </c>
      <c r="D787" s="8">
        <f>26.1232 * CHOOSE( CONTROL!$C$15, $D$11, 100%, $F$11)</f>
        <v>26.123200000000001</v>
      </c>
      <c r="E787" s="12">
        <f>26.129 * CHOOSE( CONTROL!$C$15, $D$11, 100%, $F$11)</f>
        <v>26.129000000000001</v>
      </c>
      <c r="F787" s="4">
        <f>27.1307 * CHOOSE(CONTROL!$C$15, $D$11, 100%, $F$11)</f>
        <v>27.130700000000001</v>
      </c>
      <c r="G787" s="8">
        <f>25.4801 * CHOOSE( CONTROL!$C$15, $D$11, 100%, $F$11)</f>
        <v>25.4801</v>
      </c>
      <c r="H787" s="4">
        <f>26.3699 * CHOOSE(CONTROL!$C$15, $D$11, 100%, $F$11)</f>
        <v>26.369900000000001</v>
      </c>
      <c r="I787" s="8">
        <f>25.1053 * CHOOSE(CONTROL!$C$15, $D$11, 100%, $F$11)</f>
        <v>25.1053</v>
      </c>
      <c r="J787" s="4">
        <f>25.0347 * CHOOSE(CONTROL!$C$15, $D$11, 100%, $F$11)</f>
        <v>25.034700000000001</v>
      </c>
      <c r="K787" s="4"/>
      <c r="L787" s="9">
        <v>27.3993</v>
      </c>
      <c r="M787" s="9">
        <v>12.063700000000001</v>
      </c>
      <c r="N787" s="9">
        <v>4.9444999999999997</v>
      </c>
      <c r="O787" s="9">
        <v>0.37459999999999999</v>
      </c>
      <c r="P787" s="9">
        <v>1.2939000000000001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26.5288 * CHOOSE(CONTROL!$C$15, $D$11, 100%, $F$11)</f>
        <v>26.5288</v>
      </c>
      <c r="C788" s="8">
        <f>26.5393 * CHOOSE(CONTROL!$C$15, $D$11, 100%, $F$11)</f>
        <v>26.539300000000001</v>
      </c>
      <c r="D788" s="8">
        <f>26.5433 * CHOOSE( CONTROL!$C$15, $D$11, 100%, $F$11)</f>
        <v>26.543299999999999</v>
      </c>
      <c r="E788" s="12">
        <f>26.5408 * CHOOSE( CONTROL!$C$15, $D$11, 100%, $F$11)</f>
        <v>26.540800000000001</v>
      </c>
      <c r="F788" s="4">
        <f>27.5361 * CHOOSE(CONTROL!$C$15, $D$11, 100%, $F$11)</f>
        <v>27.536100000000001</v>
      </c>
      <c r="G788" s="8">
        <f>25.8555 * CHOOSE( CONTROL!$C$15, $D$11, 100%, $F$11)</f>
        <v>25.855499999999999</v>
      </c>
      <c r="H788" s="4">
        <f>26.7652 * CHOOSE(CONTROL!$C$15, $D$11, 100%, $F$11)</f>
        <v>26.7652</v>
      </c>
      <c r="I788" s="8">
        <f>25.4761 * CHOOSE(CONTROL!$C$15, $D$11, 100%, $F$11)</f>
        <v>25.476099999999999</v>
      </c>
      <c r="J788" s="4">
        <f>25.4152 * CHOOSE(CONTROL!$C$15, $D$11, 100%, $F$11)</f>
        <v>25.415199999999999</v>
      </c>
      <c r="K788" s="4"/>
      <c r="L788" s="9">
        <v>27.988800000000001</v>
      </c>
      <c r="M788" s="9">
        <v>11.6745</v>
      </c>
      <c r="N788" s="9">
        <v>4.7850000000000001</v>
      </c>
      <c r="O788" s="9">
        <v>0.36249999999999999</v>
      </c>
      <c r="P788" s="9">
        <v>1.1798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CONTROL!$C$32, 27.2408, 27.2356) * CHOOSE(CONTROL!$C$15, $D$11, 100%, $F$11)</f>
        <v>27.2408</v>
      </c>
      <c r="C789" s="8">
        <f>CHOOSE( CONTROL!$C$32, 27.2513, 27.246) * CHOOSE(CONTROL!$C$15, $D$11, 100%, $F$11)</f>
        <v>27.251300000000001</v>
      </c>
      <c r="D789" s="8">
        <f>CHOOSE( CONTROL!$C$32, 27.2641, 27.2589) * CHOOSE( CONTROL!$C$15, $D$11, 100%, $F$11)</f>
        <v>27.264099999999999</v>
      </c>
      <c r="E789" s="12">
        <f>CHOOSE( CONTROL!$C$32, 27.2579, 27.2526) * CHOOSE( CONTROL!$C$15, $D$11, 100%, $F$11)</f>
        <v>27.257899999999999</v>
      </c>
      <c r="F789" s="4">
        <f>CHOOSE( CONTROL!$C$32, 28.2638, 28.2585) * CHOOSE(CONTROL!$C$15, $D$11, 100%, $F$11)</f>
        <v>28.2638</v>
      </c>
      <c r="G789" s="8">
        <f>CHOOSE( CONTROL!$C$32, 26.5552, 26.5501) * CHOOSE( CONTROL!$C$15, $D$11, 100%, $F$11)</f>
        <v>26.555199999999999</v>
      </c>
      <c r="H789" s="4">
        <f>CHOOSE( CONTROL!$C$32, 27.4745, 27.4693) * CHOOSE(CONTROL!$C$15, $D$11, 100%, $F$11)</f>
        <v>27.474499999999999</v>
      </c>
      <c r="I789" s="8">
        <f>CHOOSE( CONTROL!$C$32, 26.164, 26.159) * CHOOSE(CONTROL!$C$15, $D$11, 100%, $F$11)</f>
        <v>26.164000000000001</v>
      </c>
      <c r="J789" s="4">
        <f>CHOOSE( CONTROL!$C$32, 26.0974, 26.0924) * CHOOSE(CONTROL!$C$15, $D$11, 100%, $F$11)</f>
        <v>26.0974</v>
      </c>
      <c r="K789" s="4"/>
      <c r="L789" s="9">
        <v>29.520499999999998</v>
      </c>
      <c r="M789" s="9">
        <v>12.063700000000001</v>
      </c>
      <c r="N789" s="9">
        <v>4.9444999999999997</v>
      </c>
      <c r="O789" s="9">
        <v>0.37459999999999999</v>
      </c>
      <c r="P789" s="9">
        <v>1.2192000000000001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CONTROL!$C$32, 26.803, 26.7978) * CHOOSE(CONTROL!$C$15, $D$11, 100%, $F$11)</f>
        <v>26.803000000000001</v>
      </c>
      <c r="C790" s="8">
        <f>CHOOSE( CONTROL!$C$32, 26.8135, 26.8082) * CHOOSE(CONTROL!$C$15, $D$11, 100%, $F$11)</f>
        <v>26.813500000000001</v>
      </c>
      <c r="D790" s="8">
        <f>CHOOSE( CONTROL!$C$32, 26.8339, 26.8287) * CHOOSE( CONTROL!$C$15, $D$11, 100%, $F$11)</f>
        <v>26.8339</v>
      </c>
      <c r="E790" s="12">
        <f>CHOOSE( CONTROL!$C$32, 26.8249, 26.8197) * CHOOSE( CONTROL!$C$15, $D$11, 100%, $F$11)</f>
        <v>26.8249</v>
      </c>
      <c r="F790" s="4">
        <f>CHOOSE( CONTROL!$C$32, 27.8385, 27.8332) * CHOOSE(CONTROL!$C$15, $D$11, 100%, $F$11)</f>
        <v>27.8385</v>
      </c>
      <c r="G790" s="8">
        <f>CHOOSE( CONTROL!$C$32, 26.1323, 26.1272) * CHOOSE( CONTROL!$C$15, $D$11, 100%, $F$11)</f>
        <v>26.132300000000001</v>
      </c>
      <c r="H790" s="4">
        <f>CHOOSE( CONTROL!$C$32, 27.0599, 27.0548) * CHOOSE(CONTROL!$C$15, $D$11, 100%, $F$11)</f>
        <v>27.059899999999999</v>
      </c>
      <c r="I790" s="8">
        <f>CHOOSE( CONTROL!$C$32, 25.7495, 25.7445) * CHOOSE(CONTROL!$C$15, $D$11, 100%, $F$11)</f>
        <v>25.749500000000001</v>
      </c>
      <c r="J790" s="4">
        <f>CHOOSE( CONTROL!$C$32, 25.6779, 25.6729) * CHOOSE(CONTROL!$C$15, $D$11, 100%, $F$11)</f>
        <v>25.677900000000001</v>
      </c>
      <c r="K790" s="4"/>
      <c r="L790" s="9">
        <v>28.568200000000001</v>
      </c>
      <c r="M790" s="9">
        <v>11.6745</v>
      </c>
      <c r="N790" s="9">
        <v>4.7850000000000001</v>
      </c>
      <c r="O790" s="9">
        <v>0.36249999999999999</v>
      </c>
      <c r="P790" s="9">
        <v>1.1798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CONTROL!$C$32, 27.9559, 27.9507) * CHOOSE(CONTROL!$C$15, $D$11, 100%, $F$11)</f>
        <v>27.9559</v>
      </c>
      <c r="C791" s="8">
        <f>CHOOSE( CONTROL!$C$32, 27.9664, 27.9611) * CHOOSE(CONTROL!$C$15, $D$11, 100%, $F$11)</f>
        <v>27.9664</v>
      </c>
      <c r="D791" s="8">
        <f>CHOOSE( CONTROL!$C$32, 27.977, 27.9717) * CHOOSE( CONTROL!$C$15, $D$11, 100%, $F$11)</f>
        <v>27.977</v>
      </c>
      <c r="E791" s="12">
        <f>CHOOSE( CONTROL!$C$32, 27.9716, 27.9663) * CHOOSE( CONTROL!$C$15, $D$11, 100%, $F$11)</f>
        <v>27.971599999999999</v>
      </c>
      <c r="F791" s="4">
        <f>CHOOSE( CONTROL!$C$32, 28.9914, 28.9861) * CHOOSE(CONTROL!$C$15, $D$11, 100%, $F$11)</f>
        <v>28.991399999999999</v>
      </c>
      <c r="G791" s="8">
        <f>CHOOSE( CONTROL!$C$32, 27.2429, 27.2377) * CHOOSE( CONTROL!$C$15, $D$11, 100%, $F$11)</f>
        <v>27.242899999999999</v>
      </c>
      <c r="H791" s="4">
        <f>CHOOSE( CONTROL!$C$32, 28.1837, 28.1786) * CHOOSE(CONTROL!$C$15, $D$11, 100%, $F$11)</f>
        <v>28.183700000000002</v>
      </c>
      <c r="I791" s="8">
        <f>CHOOSE( CONTROL!$C$32, 26.8582, 26.8531) * CHOOSE(CONTROL!$C$15, $D$11, 100%, $F$11)</f>
        <v>26.8582</v>
      </c>
      <c r="J791" s="4">
        <f>CHOOSE( CONTROL!$C$32, 26.7826, 26.7776) * CHOOSE(CONTROL!$C$15, $D$11, 100%, $F$11)</f>
        <v>26.782599999999999</v>
      </c>
      <c r="K791" s="4"/>
      <c r="L791" s="9">
        <v>29.520499999999998</v>
      </c>
      <c r="M791" s="9">
        <v>12.063700000000001</v>
      </c>
      <c r="N791" s="9">
        <v>4.9444999999999997</v>
      </c>
      <c r="O791" s="9">
        <v>0.37459999999999999</v>
      </c>
      <c r="P791" s="9">
        <v>1.2192000000000001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CONTROL!$C$32, 25.7987, 25.7935) * CHOOSE(CONTROL!$C$15, $D$11, 100%, $F$11)</f>
        <v>25.7987</v>
      </c>
      <c r="C792" s="8">
        <f>CHOOSE( CONTROL!$C$32, 25.8092, 25.8039) * CHOOSE(CONTROL!$C$15, $D$11, 100%, $F$11)</f>
        <v>25.809200000000001</v>
      </c>
      <c r="D792" s="8">
        <f>CHOOSE( CONTROL!$C$32, 25.8201, 25.8149) * CHOOSE( CONTROL!$C$15, $D$11, 100%, $F$11)</f>
        <v>25.8201</v>
      </c>
      <c r="E792" s="12">
        <f>CHOOSE( CONTROL!$C$32, 25.8145, 25.8093) * CHOOSE( CONTROL!$C$15, $D$11, 100%, $F$11)</f>
        <v>25.814499999999999</v>
      </c>
      <c r="F792" s="4">
        <f>CHOOSE( CONTROL!$C$32, 26.8342, 26.8289) * CHOOSE(CONTROL!$C$15, $D$11, 100%, $F$11)</f>
        <v>26.834199999999999</v>
      </c>
      <c r="G792" s="8">
        <f>CHOOSE( CONTROL!$C$32, 25.1406, 25.1354) * CHOOSE( CONTROL!$C$15, $D$11, 100%, $F$11)</f>
        <v>25.140599999999999</v>
      </c>
      <c r="H792" s="4">
        <f>CHOOSE( CONTROL!$C$32, 26.0809, 26.0758) * CHOOSE(CONTROL!$C$15, $D$11, 100%, $F$11)</f>
        <v>26.0809</v>
      </c>
      <c r="I792" s="8">
        <f>CHOOSE( CONTROL!$C$32, 24.7917, 24.7867) * CHOOSE(CONTROL!$C$15, $D$11, 100%, $F$11)</f>
        <v>24.791699999999999</v>
      </c>
      <c r="J792" s="4">
        <f>CHOOSE( CONTROL!$C$32, 24.7156, 24.7106) * CHOOSE(CONTROL!$C$15, $D$11, 100%, $F$11)</f>
        <v>24.715599999999998</v>
      </c>
      <c r="K792" s="4"/>
      <c r="L792" s="9">
        <v>29.520499999999998</v>
      </c>
      <c r="M792" s="9">
        <v>12.063700000000001</v>
      </c>
      <c r="N792" s="9">
        <v>4.9444999999999997</v>
      </c>
      <c r="O792" s="9">
        <v>0.37459999999999999</v>
      </c>
      <c r="P792" s="9">
        <v>1.2192000000000001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CONTROL!$C$32, 25.2586, 25.2533) * CHOOSE(CONTROL!$C$15, $D$11, 100%, $F$11)</f>
        <v>25.258600000000001</v>
      </c>
      <c r="C793" s="8">
        <f>CHOOSE( CONTROL!$C$32, 25.269, 25.2637) * CHOOSE(CONTROL!$C$15, $D$11, 100%, $F$11)</f>
        <v>25.268999999999998</v>
      </c>
      <c r="D793" s="8">
        <f>CHOOSE( CONTROL!$C$32, 25.2801, 25.2748) * CHOOSE( CONTROL!$C$15, $D$11, 100%, $F$11)</f>
        <v>25.280100000000001</v>
      </c>
      <c r="E793" s="12">
        <f>CHOOSE( CONTROL!$C$32, 25.2745, 25.2692) * CHOOSE( CONTROL!$C$15, $D$11, 100%, $F$11)</f>
        <v>25.2745</v>
      </c>
      <c r="F793" s="4">
        <f>CHOOSE( CONTROL!$C$32, 26.294, 26.2887) * CHOOSE(CONTROL!$C$15, $D$11, 100%, $F$11)</f>
        <v>26.294</v>
      </c>
      <c r="G793" s="8">
        <f>CHOOSE( CONTROL!$C$32, 24.6142, 24.6091) * CHOOSE( CONTROL!$C$15, $D$11, 100%, $F$11)</f>
        <v>24.6142</v>
      </c>
      <c r="H793" s="4">
        <f>CHOOSE( CONTROL!$C$32, 25.5544, 25.5492) * CHOOSE(CONTROL!$C$15, $D$11, 100%, $F$11)</f>
        <v>25.554400000000001</v>
      </c>
      <c r="I793" s="8">
        <f>CHOOSE( CONTROL!$C$32, 24.2746, 24.2695) * CHOOSE(CONTROL!$C$15, $D$11, 100%, $F$11)</f>
        <v>24.2746</v>
      </c>
      <c r="J793" s="4">
        <f>CHOOSE( CONTROL!$C$32, 24.198, 24.193) * CHOOSE(CONTROL!$C$15, $D$11, 100%, $F$11)</f>
        <v>24.198</v>
      </c>
      <c r="K793" s="4"/>
      <c r="L793" s="9">
        <v>28.568200000000001</v>
      </c>
      <c r="M793" s="9">
        <v>11.6745</v>
      </c>
      <c r="N793" s="9">
        <v>4.7850000000000001</v>
      </c>
      <c r="O793" s="9">
        <v>0.36249999999999999</v>
      </c>
      <c r="P793" s="9">
        <v>1.1798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26.3749 * CHOOSE(CONTROL!$C$15, $D$11, 100%, $F$11)</f>
        <v>26.3749</v>
      </c>
      <c r="C794" s="8">
        <f>26.3854 * CHOOSE(CONTROL!$C$15, $D$11, 100%, $F$11)</f>
        <v>26.385400000000001</v>
      </c>
      <c r="D794" s="8">
        <f>26.3977 * CHOOSE( CONTROL!$C$15, $D$11, 100%, $F$11)</f>
        <v>26.3977</v>
      </c>
      <c r="E794" s="12">
        <f>26.3925 * CHOOSE( CONTROL!$C$15, $D$11, 100%, $F$11)</f>
        <v>26.392499999999998</v>
      </c>
      <c r="F794" s="4">
        <f>27.4103 * CHOOSE(CONTROL!$C$15, $D$11, 100%, $F$11)</f>
        <v>27.410299999999999</v>
      </c>
      <c r="G794" s="8">
        <f>25.7018 * CHOOSE( CONTROL!$C$15, $D$11, 100%, $F$11)</f>
        <v>25.701799999999999</v>
      </c>
      <c r="H794" s="4">
        <f>26.6426 * CHOOSE(CONTROL!$C$15, $D$11, 100%, $F$11)</f>
        <v>26.642600000000002</v>
      </c>
      <c r="I794" s="8">
        <f>25.3462 * CHOOSE(CONTROL!$C$15, $D$11, 100%, $F$11)</f>
        <v>25.3462</v>
      </c>
      <c r="J794" s="4">
        <f>25.2677 * CHOOSE(CONTROL!$C$15, $D$11, 100%, $F$11)</f>
        <v>25.267700000000001</v>
      </c>
      <c r="K794" s="4"/>
      <c r="L794" s="9">
        <v>28.921800000000001</v>
      </c>
      <c r="M794" s="9">
        <v>12.063700000000001</v>
      </c>
      <c r="N794" s="9">
        <v>4.9444999999999997</v>
      </c>
      <c r="O794" s="9">
        <v>0.37459999999999999</v>
      </c>
      <c r="P794" s="9">
        <v>1.2192000000000001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28.4452 * CHOOSE(CONTROL!$C$15, $D$11, 100%, $F$11)</f>
        <v>28.4452</v>
      </c>
      <c r="C795" s="8">
        <f>28.4556 * CHOOSE(CONTROL!$C$15, $D$11, 100%, $F$11)</f>
        <v>28.4556</v>
      </c>
      <c r="D795" s="8">
        <f>28.4394 * CHOOSE( CONTROL!$C$15, $D$11, 100%, $F$11)</f>
        <v>28.439399999999999</v>
      </c>
      <c r="E795" s="12">
        <f>28.4442 * CHOOSE( CONTROL!$C$15, $D$11, 100%, $F$11)</f>
        <v>28.444199999999999</v>
      </c>
      <c r="F795" s="4">
        <f>29.4394 * CHOOSE(CONTROL!$C$15, $D$11, 100%, $F$11)</f>
        <v>29.439399999999999</v>
      </c>
      <c r="G795" s="8">
        <f>27.7408 * CHOOSE( CONTROL!$C$15, $D$11, 100%, $F$11)</f>
        <v>27.7408</v>
      </c>
      <c r="H795" s="4">
        <f>28.6204 * CHOOSE(CONTROL!$C$15, $D$11, 100%, $F$11)</f>
        <v>28.6204</v>
      </c>
      <c r="I795" s="8">
        <f>27.3678 * CHOOSE(CONTROL!$C$15, $D$11, 100%, $F$11)</f>
        <v>27.367799999999999</v>
      </c>
      <c r="J795" s="4">
        <f>27.2514 * CHOOSE(CONTROL!$C$15, $D$11, 100%, $F$11)</f>
        <v>27.2514</v>
      </c>
      <c r="K795" s="4"/>
      <c r="L795" s="9">
        <v>26.515499999999999</v>
      </c>
      <c r="M795" s="9">
        <v>11.6745</v>
      </c>
      <c r="N795" s="9">
        <v>4.7850000000000001</v>
      </c>
      <c r="O795" s="9">
        <v>0.36249999999999999</v>
      </c>
      <c r="P795" s="9">
        <v>1.2522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28.3935 * CHOOSE(CONTROL!$C$15, $D$11, 100%, $F$11)</f>
        <v>28.3935</v>
      </c>
      <c r="C796" s="8">
        <f>28.4039 * CHOOSE(CONTROL!$C$15, $D$11, 100%, $F$11)</f>
        <v>28.4039</v>
      </c>
      <c r="D796" s="8">
        <f>28.39 * CHOOSE( CONTROL!$C$15, $D$11, 100%, $F$11)</f>
        <v>28.39</v>
      </c>
      <c r="E796" s="12">
        <f>28.394 * CHOOSE( CONTROL!$C$15, $D$11, 100%, $F$11)</f>
        <v>28.393999999999998</v>
      </c>
      <c r="F796" s="4">
        <f>29.3877 * CHOOSE(CONTROL!$C$15, $D$11, 100%, $F$11)</f>
        <v>29.387699999999999</v>
      </c>
      <c r="G796" s="8">
        <f>27.6921 * CHOOSE( CONTROL!$C$15, $D$11, 100%, $F$11)</f>
        <v>27.6921</v>
      </c>
      <c r="H796" s="4">
        <f>28.57 * CHOOSE(CONTROL!$C$15, $D$11, 100%, $F$11)</f>
        <v>28.57</v>
      </c>
      <c r="I796" s="8">
        <f>27.3258 * CHOOSE(CONTROL!$C$15, $D$11, 100%, $F$11)</f>
        <v>27.325800000000001</v>
      </c>
      <c r="J796" s="4">
        <f>27.2019 * CHOOSE(CONTROL!$C$15, $D$11, 100%, $F$11)</f>
        <v>27.201899999999998</v>
      </c>
      <c r="K796" s="4"/>
      <c r="L796" s="9">
        <v>27.3993</v>
      </c>
      <c r="M796" s="9">
        <v>12.063700000000001</v>
      </c>
      <c r="N796" s="9">
        <v>4.9444999999999997</v>
      </c>
      <c r="O796" s="9">
        <v>0.37459999999999999</v>
      </c>
      <c r="P796" s="9">
        <v>1.2939000000000001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29.4785 * CHOOSE(CONTROL!$C$15, $D$11, 100%, $F$11)</f>
        <v>29.4785</v>
      </c>
      <c r="C797" s="8">
        <f>29.4889 * CHOOSE(CONTROL!$C$15, $D$11, 100%, $F$11)</f>
        <v>29.488900000000001</v>
      </c>
      <c r="D797" s="8">
        <f>29.4882 * CHOOSE( CONTROL!$C$15, $D$11, 100%, $F$11)</f>
        <v>29.488199999999999</v>
      </c>
      <c r="E797" s="12">
        <f>29.4873 * CHOOSE( CONTROL!$C$15, $D$11, 100%, $F$11)</f>
        <v>29.487300000000001</v>
      </c>
      <c r="F797" s="4">
        <f>30.5014 * CHOOSE(CONTROL!$C$15, $D$11, 100%, $F$11)</f>
        <v>30.5014</v>
      </c>
      <c r="G797" s="8">
        <f>28.7633 * CHOOSE( CONTROL!$C$15, $D$11, 100%, $F$11)</f>
        <v>28.763300000000001</v>
      </c>
      <c r="H797" s="4">
        <f>29.6556 * CHOOSE(CONTROL!$C$15, $D$11, 100%, $F$11)</f>
        <v>29.6556</v>
      </c>
      <c r="I797" s="8">
        <f>28.3642 * CHOOSE(CONTROL!$C$15, $D$11, 100%, $F$11)</f>
        <v>28.3642</v>
      </c>
      <c r="J797" s="4">
        <f>28.2415 * CHOOSE(CONTROL!$C$15, $D$11, 100%, $F$11)</f>
        <v>28.241499999999998</v>
      </c>
      <c r="K797" s="4"/>
      <c r="L797" s="9">
        <v>27.3993</v>
      </c>
      <c r="M797" s="9">
        <v>12.063700000000001</v>
      </c>
      <c r="N797" s="9">
        <v>4.9444999999999997</v>
      </c>
      <c r="O797" s="9">
        <v>0.37459999999999999</v>
      </c>
      <c r="P797" s="9">
        <v>1.2939000000000001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27.5731 * CHOOSE(CONTROL!$C$15, $D$11, 100%, $F$11)</f>
        <v>27.5731</v>
      </c>
      <c r="C798" s="8">
        <f>27.5835 * CHOOSE(CONTROL!$C$15, $D$11, 100%, $F$11)</f>
        <v>27.583500000000001</v>
      </c>
      <c r="D798" s="8">
        <f>27.585 * CHOOSE( CONTROL!$C$15, $D$11, 100%, $F$11)</f>
        <v>27.585000000000001</v>
      </c>
      <c r="E798" s="12">
        <f>27.5833 * CHOOSE( CONTROL!$C$15, $D$11, 100%, $F$11)</f>
        <v>27.583300000000001</v>
      </c>
      <c r="F798" s="4">
        <f>28.5881 * CHOOSE(CONTROL!$C$15, $D$11, 100%, $F$11)</f>
        <v>28.588100000000001</v>
      </c>
      <c r="G798" s="8">
        <f>26.9057 * CHOOSE( CONTROL!$C$15, $D$11, 100%, $F$11)</f>
        <v>26.9057</v>
      </c>
      <c r="H798" s="4">
        <f>27.7906 * CHOOSE(CONTROL!$C$15, $D$11, 100%, $F$11)</f>
        <v>27.790600000000001</v>
      </c>
      <c r="I798" s="8">
        <f>26.5266 * CHOOSE(CONTROL!$C$15, $D$11, 100%, $F$11)</f>
        <v>26.526599999999998</v>
      </c>
      <c r="J798" s="4">
        <f>26.4157 * CHOOSE(CONTROL!$C$15, $D$11, 100%, $F$11)</f>
        <v>26.415700000000001</v>
      </c>
      <c r="K798" s="4"/>
      <c r="L798" s="9">
        <v>24.747800000000002</v>
      </c>
      <c r="M798" s="9">
        <v>10.8962</v>
      </c>
      <c r="N798" s="9">
        <v>4.4660000000000002</v>
      </c>
      <c r="O798" s="9">
        <v>0.33829999999999999</v>
      </c>
      <c r="P798" s="9">
        <v>1.1687000000000001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26.9862 * CHOOSE(CONTROL!$C$15, $D$11, 100%, $F$11)</f>
        <v>26.9862</v>
      </c>
      <c r="C799" s="8">
        <f>26.9966 * CHOOSE(CONTROL!$C$15, $D$11, 100%, $F$11)</f>
        <v>26.996600000000001</v>
      </c>
      <c r="D799" s="8">
        <f>26.9777 * CHOOSE( CONTROL!$C$15, $D$11, 100%, $F$11)</f>
        <v>26.977699999999999</v>
      </c>
      <c r="E799" s="12">
        <f>26.9835 * CHOOSE( CONTROL!$C$15, $D$11, 100%, $F$11)</f>
        <v>26.983499999999999</v>
      </c>
      <c r="F799" s="4">
        <f>27.9851 * CHOOSE(CONTROL!$C$15, $D$11, 100%, $F$11)</f>
        <v>27.985099999999999</v>
      </c>
      <c r="G799" s="8">
        <f>26.313 * CHOOSE( CONTROL!$C$15, $D$11, 100%, $F$11)</f>
        <v>26.312999999999999</v>
      </c>
      <c r="H799" s="4">
        <f>27.2028 * CHOOSE(CONTROL!$C$15, $D$11, 100%, $F$11)</f>
        <v>27.2028</v>
      </c>
      <c r="I799" s="8">
        <f>25.9245 * CHOOSE(CONTROL!$C$15, $D$11, 100%, $F$11)</f>
        <v>25.924499999999998</v>
      </c>
      <c r="J799" s="4">
        <f>25.8534 * CHOOSE(CONTROL!$C$15, $D$11, 100%, $F$11)</f>
        <v>25.853400000000001</v>
      </c>
      <c r="K799" s="4"/>
      <c r="L799" s="9">
        <v>27.3993</v>
      </c>
      <c r="M799" s="9">
        <v>12.063700000000001</v>
      </c>
      <c r="N799" s="9">
        <v>4.9444999999999997</v>
      </c>
      <c r="O799" s="9">
        <v>0.37459999999999999</v>
      </c>
      <c r="P799" s="9">
        <v>1.2939000000000001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27.3963 * CHOOSE(CONTROL!$C$15, $D$11, 100%, $F$11)</f>
        <v>27.3963</v>
      </c>
      <c r="C800" s="8">
        <f>27.4067 * CHOOSE(CONTROL!$C$15, $D$11, 100%, $F$11)</f>
        <v>27.406700000000001</v>
      </c>
      <c r="D800" s="8">
        <f>27.4107 * CHOOSE( CONTROL!$C$15, $D$11, 100%, $F$11)</f>
        <v>27.410699999999999</v>
      </c>
      <c r="E800" s="12">
        <f>27.4082 * CHOOSE( CONTROL!$C$15, $D$11, 100%, $F$11)</f>
        <v>27.408200000000001</v>
      </c>
      <c r="F800" s="4">
        <f>28.4035 * CHOOSE(CONTROL!$C$15, $D$11, 100%, $F$11)</f>
        <v>28.403500000000001</v>
      </c>
      <c r="G800" s="8">
        <f>26.7011 * CHOOSE( CONTROL!$C$15, $D$11, 100%, $F$11)</f>
        <v>26.7011</v>
      </c>
      <c r="H800" s="4">
        <f>27.6107 * CHOOSE(CONTROL!$C$15, $D$11, 100%, $F$11)</f>
        <v>27.610700000000001</v>
      </c>
      <c r="I800" s="8">
        <f>26.3077 * CHOOSE(CONTROL!$C$15, $D$11, 100%, $F$11)</f>
        <v>26.307700000000001</v>
      </c>
      <c r="J800" s="4">
        <f>26.2464 * CHOOSE(CONTROL!$C$15, $D$11, 100%, $F$11)</f>
        <v>26.246400000000001</v>
      </c>
      <c r="K800" s="4"/>
      <c r="L800" s="9">
        <v>27.988800000000001</v>
      </c>
      <c r="M800" s="9">
        <v>11.6745</v>
      </c>
      <c r="N800" s="9">
        <v>4.7850000000000001</v>
      </c>
      <c r="O800" s="9">
        <v>0.36249999999999999</v>
      </c>
      <c r="P800" s="9">
        <v>1.1798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CONTROL!$C$32, 28.1314, 28.1261) * CHOOSE(CONTROL!$C$15, $D$11, 100%, $F$11)</f>
        <v>28.131399999999999</v>
      </c>
      <c r="C801" s="8">
        <f>CHOOSE( CONTROL!$C$32, 28.1418, 28.1366) * CHOOSE(CONTROL!$C$15, $D$11, 100%, $F$11)</f>
        <v>28.1418</v>
      </c>
      <c r="D801" s="8">
        <f>CHOOSE( CONTROL!$C$32, 28.1547, 28.1494) * CHOOSE( CONTROL!$C$15, $D$11, 100%, $F$11)</f>
        <v>28.154699999999998</v>
      </c>
      <c r="E801" s="12">
        <f>CHOOSE( CONTROL!$C$32, 28.1484, 28.1432) * CHOOSE( CONTROL!$C$15, $D$11, 100%, $F$11)</f>
        <v>28.148399999999999</v>
      </c>
      <c r="F801" s="4">
        <f>CHOOSE( CONTROL!$C$32, 29.1543, 29.149) * CHOOSE(CONTROL!$C$15, $D$11, 100%, $F$11)</f>
        <v>29.154299999999999</v>
      </c>
      <c r="G801" s="8">
        <f>CHOOSE( CONTROL!$C$32, 27.4233, 27.4181) * CHOOSE( CONTROL!$C$15, $D$11, 100%, $F$11)</f>
        <v>27.423300000000001</v>
      </c>
      <c r="H801" s="4">
        <f>CHOOSE( CONTROL!$C$32, 28.3425, 28.3374) * CHOOSE(CONTROL!$C$15, $D$11, 100%, $F$11)</f>
        <v>28.342500000000001</v>
      </c>
      <c r="I801" s="8">
        <f>CHOOSE( CONTROL!$C$32, 27.0178, 27.0127) * CHOOSE(CONTROL!$C$15, $D$11, 100%, $F$11)</f>
        <v>27.017800000000001</v>
      </c>
      <c r="J801" s="4">
        <f>CHOOSE( CONTROL!$C$32, 26.9507, 26.9457) * CHOOSE(CONTROL!$C$15, $D$11, 100%, $F$11)</f>
        <v>26.950700000000001</v>
      </c>
      <c r="K801" s="4"/>
      <c r="L801" s="9">
        <v>29.520499999999998</v>
      </c>
      <c r="M801" s="9">
        <v>12.063700000000001</v>
      </c>
      <c r="N801" s="9">
        <v>4.9444999999999997</v>
      </c>
      <c r="O801" s="9">
        <v>0.37459999999999999</v>
      </c>
      <c r="P801" s="9">
        <v>1.2192000000000001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CONTROL!$C$32, 27.6793, 27.674) * CHOOSE(CONTROL!$C$15, $D$11, 100%, $F$11)</f>
        <v>27.679300000000001</v>
      </c>
      <c r="C802" s="8">
        <f>CHOOSE( CONTROL!$C$32, 27.6897, 27.6844) * CHOOSE(CONTROL!$C$15, $D$11, 100%, $F$11)</f>
        <v>27.689699999999998</v>
      </c>
      <c r="D802" s="8">
        <f>CHOOSE( CONTROL!$C$32, 27.7101, 27.7049) * CHOOSE( CONTROL!$C$15, $D$11, 100%, $F$11)</f>
        <v>27.710100000000001</v>
      </c>
      <c r="E802" s="12">
        <f>CHOOSE( CONTROL!$C$32, 27.7011, 27.6959) * CHOOSE( CONTROL!$C$15, $D$11, 100%, $F$11)</f>
        <v>27.7011</v>
      </c>
      <c r="F802" s="4">
        <f>CHOOSE( CONTROL!$C$32, 28.7147, 28.7094) * CHOOSE(CONTROL!$C$15, $D$11, 100%, $F$11)</f>
        <v>28.714700000000001</v>
      </c>
      <c r="G802" s="8">
        <f>CHOOSE( CONTROL!$C$32, 26.9864, 26.9813) * CHOOSE( CONTROL!$C$15, $D$11, 100%, $F$11)</f>
        <v>26.9864</v>
      </c>
      <c r="H802" s="4">
        <f>CHOOSE( CONTROL!$C$32, 27.914, 27.9089) * CHOOSE(CONTROL!$C$15, $D$11, 100%, $F$11)</f>
        <v>27.914000000000001</v>
      </c>
      <c r="I802" s="8">
        <f>CHOOSE( CONTROL!$C$32, 26.5896, 26.5845) * CHOOSE(CONTROL!$C$15, $D$11, 100%, $F$11)</f>
        <v>26.589600000000001</v>
      </c>
      <c r="J802" s="4">
        <f>CHOOSE( CONTROL!$C$32, 26.5175, 26.5125) * CHOOSE(CONTROL!$C$15, $D$11, 100%, $F$11)</f>
        <v>26.517499999999998</v>
      </c>
      <c r="K802" s="4"/>
      <c r="L802" s="9">
        <v>28.568200000000001</v>
      </c>
      <c r="M802" s="9">
        <v>11.6745</v>
      </c>
      <c r="N802" s="9">
        <v>4.7850000000000001</v>
      </c>
      <c r="O802" s="9">
        <v>0.36249999999999999</v>
      </c>
      <c r="P802" s="9">
        <v>1.1798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CONTROL!$C$32, 28.8699, 28.8646) * CHOOSE(CONTROL!$C$15, $D$11, 100%, $F$11)</f>
        <v>28.869900000000001</v>
      </c>
      <c r="C803" s="8">
        <f>CHOOSE( CONTROL!$C$32, 28.8803, 28.8751) * CHOOSE(CONTROL!$C$15, $D$11, 100%, $F$11)</f>
        <v>28.880299999999998</v>
      </c>
      <c r="D803" s="8">
        <f>CHOOSE( CONTROL!$C$32, 28.8909, 28.8857) * CHOOSE( CONTROL!$C$15, $D$11, 100%, $F$11)</f>
        <v>28.890899999999998</v>
      </c>
      <c r="E803" s="12">
        <f>CHOOSE( CONTROL!$C$32, 28.8855, 28.8803) * CHOOSE( CONTROL!$C$15, $D$11, 100%, $F$11)</f>
        <v>28.8855</v>
      </c>
      <c r="F803" s="4">
        <f>CHOOSE( CONTROL!$C$32, 29.9053, 29.9001) * CHOOSE(CONTROL!$C$15, $D$11, 100%, $F$11)</f>
        <v>29.9053</v>
      </c>
      <c r="G803" s="8">
        <f>CHOOSE( CONTROL!$C$32, 28.1337, 28.1286) * CHOOSE( CONTROL!$C$15, $D$11, 100%, $F$11)</f>
        <v>28.133700000000001</v>
      </c>
      <c r="H803" s="4">
        <f>CHOOSE( CONTROL!$C$32, 29.0746, 29.0695) * CHOOSE(CONTROL!$C$15, $D$11, 100%, $F$11)</f>
        <v>29.0746</v>
      </c>
      <c r="I803" s="8">
        <f>CHOOSE( CONTROL!$C$32, 27.7343, 27.7293) * CHOOSE(CONTROL!$C$15, $D$11, 100%, $F$11)</f>
        <v>27.734300000000001</v>
      </c>
      <c r="J803" s="4">
        <f>CHOOSE( CONTROL!$C$32, 27.6584, 27.6533) * CHOOSE(CONTROL!$C$15, $D$11, 100%, $F$11)</f>
        <v>27.6584</v>
      </c>
      <c r="K803" s="4"/>
      <c r="L803" s="9">
        <v>29.520499999999998</v>
      </c>
      <c r="M803" s="9">
        <v>12.063700000000001</v>
      </c>
      <c r="N803" s="9">
        <v>4.9444999999999997</v>
      </c>
      <c r="O803" s="9">
        <v>0.37459999999999999</v>
      </c>
      <c r="P803" s="9">
        <v>1.2192000000000001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CONTROL!$C$32, 26.6421, 26.6369) * CHOOSE(CONTROL!$C$15, $D$11, 100%, $F$11)</f>
        <v>26.642099999999999</v>
      </c>
      <c r="C804" s="8">
        <f>CHOOSE( CONTROL!$C$32, 26.6526, 26.6473) * CHOOSE(CONTROL!$C$15, $D$11, 100%, $F$11)</f>
        <v>26.6526</v>
      </c>
      <c r="D804" s="8">
        <f>CHOOSE( CONTROL!$C$32, 26.6635, 26.6582) * CHOOSE( CONTROL!$C$15, $D$11, 100%, $F$11)</f>
        <v>26.663499999999999</v>
      </c>
      <c r="E804" s="12">
        <f>CHOOSE( CONTROL!$C$32, 26.6579, 26.6527) * CHOOSE( CONTROL!$C$15, $D$11, 100%, $F$11)</f>
        <v>26.657900000000001</v>
      </c>
      <c r="F804" s="4">
        <f>CHOOSE( CONTROL!$C$32, 27.6776, 27.6723) * CHOOSE(CONTROL!$C$15, $D$11, 100%, $F$11)</f>
        <v>27.677600000000002</v>
      </c>
      <c r="G804" s="8">
        <f>CHOOSE( CONTROL!$C$32, 25.9627, 25.9575) * CHOOSE( CONTROL!$C$15, $D$11, 100%, $F$11)</f>
        <v>25.962700000000002</v>
      </c>
      <c r="H804" s="4">
        <f>CHOOSE( CONTROL!$C$32, 26.903, 26.8979) * CHOOSE(CONTROL!$C$15, $D$11, 100%, $F$11)</f>
        <v>26.902999999999999</v>
      </c>
      <c r="I804" s="8">
        <f>CHOOSE( CONTROL!$C$32, 25.6003, 25.5952) * CHOOSE(CONTROL!$C$15, $D$11, 100%, $F$11)</f>
        <v>25.600300000000001</v>
      </c>
      <c r="J804" s="4">
        <f>CHOOSE( CONTROL!$C$32, 25.5237, 25.5187) * CHOOSE(CONTROL!$C$15, $D$11, 100%, $F$11)</f>
        <v>25.523700000000002</v>
      </c>
      <c r="K804" s="4"/>
      <c r="L804" s="9">
        <v>29.520499999999998</v>
      </c>
      <c r="M804" s="9">
        <v>12.063700000000001</v>
      </c>
      <c r="N804" s="9">
        <v>4.9444999999999997</v>
      </c>
      <c r="O804" s="9">
        <v>0.37459999999999999</v>
      </c>
      <c r="P804" s="9">
        <v>1.2192000000000001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CONTROL!$C$32, 26.0843, 26.079) * CHOOSE(CONTROL!$C$15, $D$11, 100%, $F$11)</f>
        <v>26.084299999999999</v>
      </c>
      <c r="C805" s="8">
        <f>CHOOSE( CONTROL!$C$32, 26.0947, 26.0894) * CHOOSE(CONTROL!$C$15, $D$11, 100%, $F$11)</f>
        <v>26.0947</v>
      </c>
      <c r="D805" s="8">
        <f>CHOOSE( CONTROL!$C$32, 26.1058, 26.1005) * CHOOSE( CONTROL!$C$15, $D$11, 100%, $F$11)</f>
        <v>26.105799999999999</v>
      </c>
      <c r="E805" s="12">
        <f>CHOOSE( CONTROL!$C$32, 26.1002, 26.0949) * CHOOSE( CONTROL!$C$15, $D$11, 100%, $F$11)</f>
        <v>26.100200000000001</v>
      </c>
      <c r="F805" s="4">
        <f>CHOOSE( CONTROL!$C$32, 27.1197, 27.1144) * CHOOSE(CONTROL!$C$15, $D$11, 100%, $F$11)</f>
        <v>27.119700000000002</v>
      </c>
      <c r="G805" s="8">
        <f>CHOOSE( CONTROL!$C$32, 25.4191, 25.414) * CHOOSE( CONTROL!$C$15, $D$11, 100%, $F$11)</f>
        <v>25.4191</v>
      </c>
      <c r="H805" s="4">
        <f>CHOOSE( CONTROL!$C$32, 26.3593, 26.3541) * CHOOSE(CONTROL!$C$15, $D$11, 100%, $F$11)</f>
        <v>26.359300000000001</v>
      </c>
      <c r="I805" s="8">
        <f>CHOOSE( CONTROL!$C$32, 25.0661, 25.0611) * CHOOSE(CONTROL!$C$15, $D$11, 100%, $F$11)</f>
        <v>25.066099999999999</v>
      </c>
      <c r="J805" s="4">
        <f>CHOOSE( CONTROL!$C$32, 24.9892, 24.9842) * CHOOSE(CONTROL!$C$15, $D$11, 100%, $F$11)</f>
        <v>24.9892</v>
      </c>
      <c r="K805" s="4"/>
      <c r="L805" s="9">
        <v>28.568200000000001</v>
      </c>
      <c r="M805" s="9">
        <v>11.6745</v>
      </c>
      <c r="N805" s="9">
        <v>4.7850000000000001</v>
      </c>
      <c r="O805" s="9">
        <v>0.36249999999999999</v>
      </c>
      <c r="P805" s="9">
        <v>1.1798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27.2373 * CHOOSE(CONTROL!$C$15, $D$11, 100%, $F$11)</f>
        <v>27.237300000000001</v>
      </c>
      <c r="C806" s="8">
        <f>27.2477 * CHOOSE(CONTROL!$C$15, $D$11, 100%, $F$11)</f>
        <v>27.247699999999998</v>
      </c>
      <c r="D806" s="8">
        <f>27.2601 * CHOOSE( CONTROL!$C$15, $D$11, 100%, $F$11)</f>
        <v>27.260100000000001</v>
      </c>
      <c r="E806" s="12">
        <f>27.2549 * CHOOSE( CONTROL!$C$15, $D$11, 100%, $F$11)</f>
        <v>27.254899999999999</v>
      </c>
      <c r="F806" s="4">
        <f>28.2727 * CHOOSE(CONTROL!$C$15, $D$11, 100%, $F$11)</f>
        <v>28.2727</v>
      </c>
      <c r="G806" s="8">
        <f>26.5424 * CHOOSE( CONTROL!$C$15, $D$11, 100%, $F$11)</f>
        <v>26.542400000000001</v>
      </c>
      <c r="H806" s="4">
        <f>27.4832 * CHOOSE(CONTROL!$C$15, $D$11, 100%, $F$11)</f>
        <v>27.4832</v>
      </c>
      <c r="I806" s="8">
        <f>26.173 * CHOOSE(CONTROL!$C$15, $D$11, 100%, $F$11)</f>
        <v>26.172999999999998</v>
      </c>
      <c r="J806" s="4">
        <f>26.094 * CHOOSE(CONTROL!$C$15, $D$11, 100%, $F$11)</f>
        <v>26.094000000000001</v>
      </c>
      <c r="K806" s="4"/>
      <c r="L806" s="9">
        <v>28.921800000000001</v>
      </c>
      <c r="M806" s="9">
        <v>12.063700000000001</v>
      </c>
      <c r="N806" s="9">
        <v>4.9444999999999997</v>
      </c>
      <c r="O806" s="9">
        <v>0.37459999999999999</v>
      </c>
      <c r="P806" s="9">
        <v>1.2192000000000001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29.3753 * CHOOSE(CONTROL!$C$15, $D$11, 100%, $F$11)</f>
        <v>29.375299999999999</v>
      </c>
      <c r="C807" s="8">
        <f>29.3857 * CHOOSE(CONTROL!$C$15, $D$11, 100%, $F$11)</f>
        <v>29.3857</v>
      </c>
      <c r="D807" s="8">
        <f>29.3695 * CHOOSE( CONTROL!$C$15, $D$11, 100%, $F$11)</f>
        <v>29.369499999999999</v>
      </c>
      <c r="E807" s="12">
        <f>29.3743 * CHOOSE( CONTROL!$C$15, $D$11, 100%, $F$11)</f>
        <v>29.374300000000002</v>
      </c>
      <c r="F807" s="4">
        <f>30.3695 * CHOOSE(CONTROL!$C$15, $D$11, 100%, $F$11)</f>
        <v>30.369499999999999</v>
      </c>
      <c r="G807" s="8">
        <f>28.6474 * CHOOSE( CONTROL!$C$15, $D$11, 100%, $F$11)</f>
        <v>28.647400000000001</v>
      </c>
      <c r="H807" s="4">
        <f>29.5271 * CHOOSE(CONTROL!$C$15, $D$11, 100%, $F$11)</f>
        <v>29.527100000000001</v>
      </c>
      <c r="I807" s="8">
        <f>28.2595 * CHOOSE(CONTROL!$C$15, $D$11, 100%, $F$11)</f>
        <v>28.259499999999999</v>
      </c>
      <c r="J807" s="4">
        <f>28.1427 * CHOOSE(CONTROL!$C$15, $D$11, 100%, $F$11)</f>
        <v>28.142700000000001</v>
      </c>
      <c r="K807" s="4"/>
      <c r="L807" s="9">
        <v>26.515499999999999</v>
      </c>
      <c r="M807" s="9">
        <v>11.6745</v>
      </c>
      <c r="N807" s="9">
        <v>4.7850000000000001</v>
      </c>
      <c r="O807" s="9">
        <v>0.36249999999999999</v>
      </c>
      <c r="P807" s="9">
        <v>1.2522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29.3219 * CHOOSE(CONTROL!$C$15, $D$11, 100%, $F$11)</f>
        <v>29.321899999999999</v>
      </c>
      <c r="C808" s="8">
        <f>29.3323 * CHOOSE(CONTROL!$C$15, $D$11, 100%, $F$11)</f>
        <v>29.3323</v>
      </c>
      <c r="D808" s="8">
        <f>29.3184 * CHOOSE( CONTROL!$C$15, $D$11, 100%, $F$11)</f>
        <v>29.3184</v>
      </c>
      <c r="E808" s="12">
        <f>29.3224 * CHOOSE( CONTROL!$C$15, $D$11, 100%, $F$11)</f>
        <v>29.322399999999998</v>
      </c>
      <c r="F808" s="4">
        <f>30.3161 * CHOOSE(CONTROL!$C$15, $D$11, 100%, $F$11)</f>
        <v>30.316099999999999</v>
      </c>
      <c r="G808" s="8">
        <f>28.5971 * CHOOSE( CONTROL!$C$15, $D$11, 100%, $F$11)</f>
        <v>28.597100000000001</v>
      </c>
      <c r="H808" s="4">
        <f>29.475 * CHOOSE(CONTROL!$C$15, $D$11, 100%, $F$11)</f>
        <v>29.475000000000001</v>
      </c>
      <c r="I808" s="8">
        <f>28.2158 * CHOOSE(CONTROL!$C$15, $D$11, 100%, $F$11)</f>
        <v>28.215800000000002</v>
      </c>
      <c r="J808" s="4">
        <f>28.0915 * CHOOSE(CONTROL!$C$15, $D$11, 100%, $F$11)</f>
        <v>28.0915</v>
      </c>
      <c r="K808" s="4"/>
      <c r="L808" s="9">
        <v>27.3993</v>
      </c>
      <c r="M808" s="9">
        <v>12.063700000000001</v>
      </c>
      <c r="N808" s="9">
        <v>4.9444999999999997</v>
      </c>
      <c r="O808" s="9">
        <v>0.37459999999999999</v>
      </c>
      <c r="P808" s="9">
        <v>1.2939000000000001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30.4424 * CHOOSE(CONTROL!$C$15, $D$11, 100%, $F$11)</f>
        <v>30.442399999999999</v>
      </c>
      <c r="C809" s="8">
        <f>30.4528 * CHOOSE(CONTROL!$C$15, $D$11, 100%, $F$11)</f>
        <v>30.4528</v>
      </c>
      <c r="D809" s="8">
        <f>30.4521 * CHOOSE( CONTROL!$C$15, $D$11, 100%, $F$11)</f>
        <v>30.452100000000002</v>
      </c>
      <c r="E809" s="12">
        <f>30.4512 * CHOOSE( CONTROL!$C$15, $D$11, 100%, $F$11)</f>
        <v>30.4512</v>
      </c>
      <c r="F809" s="4">
        <f>31.4653 * CHOOSE(CONTROL!$C$15, $D$11, 100%, $F$11)</f>
        <v>31.465299999999999</v>
      </c>
      <c r="G809" s="8">
        <f>29.7029 * CHOOSE( CONTROL!$C$15, $D$11, 100%, $F$11)</f>
        <v>29.7029</v>
      </c>
      <c r="H809" s="4">
        <f>30.5952 * CHOOSE(CONTROL!$C$15, $D$11, 100%, $F$11)</f>
        <v>30.595199999999998</v>
      </c>
      <c r="I809" s="8">
        <f>29.2883 * CHOOSE(CONTROL!$C$15, $D$11, 100%, $F$11)</f>
        <v>29.2883</v>
      </c>
      <c r="J809" s="4">
        <f>29.1651 * CHOOSE(CONTROL!$C$15, $D$11, 100%, $F$11)</f>
        <v>29.165099999999999</v>
      </c>
      <c r="K809" s="4"/>
      <c r="L809" s="9">
        <v>27.3993</v>
      </c>
      <c r="M809" s="9">
        <v>12.063700000000001</v>
      </c>
      <c r="N809" s="9">
        <v>4.9444999999999997</v>
      </c>
      <c r="O809" s="9">
        <v>0.37459999999999999</v>
      </c>
      <c r="P809" s="9">
        <v>1.2939000000000001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28.4746 * CHOOSE(CONTROL!$C$15, $D$11, 100%, $F$11)</f>
        <v>28.474599999999999</v>
      </c>
      <c r="C810" s="8">
        <f>28.4851 * CHOOSE(CONTROL!$C$15, $D$11, 100%, $F$11)</f>
        <v>28.485099999999999</v>
      </c>
      <c r="D810" s="8">
        <f>28.4866 * CHOOSE( CONTROL!$C$15, $D$11, 100%, $F$11)</f>
        <v>28.486599999999999</v>
      </c>
      <c r="E810" s="12">
        <f>28.4849 * CHOOSE( CONTROL!$C$15, $D$11, 100%, $F$11)</f>
        <v>28.4849</v>
      </c>
      <c r="F810" s="4">
        <f>29.4897 * CHOOSE(CONTROL!$C$15, $D$11, 100%, $F$11)</f>
        <v>29.489699999999999</v>
      </c>
      <c r="G810" s="8">
        <f>27.7846 * CHOOSE( CONTROL!$C$15, $D$11, 100%, $F$11)</f>
        <v>27.784600000000001</v>
      </c>
      <c r="H810" s="4">
        <f>28.6695 * CHOOSE(CONTROL!$C$15, $D$11, 100%, $F$11)</f>
        <v>28.669499999999999</v>
      </c>
      <c r="I810" s="8">
        <f>27.3909 * CHOOSE(CONTROL!$C$15, $D$11, 100%, $F$11)</f>
        <v>27.390899999999998</v>
      </c>
      <c r="J810" s="4">
        <f>27.2796 * CHOOSE(CONTROL!$C$15, $D$11, 100%, $F$11)</f>
        <v>27.279599999999999</v>
      </c>
      <c r="K810" s="4"/>
      <c r="L810" s="9">
        <v>24.747800000000002</v>
      </c>
      <c r="M810" s="9">
        <v>10.8962</v>
      </c>
      <c r="N810" s="9">
        <v>4.4660000000000002</v>
      </c>
      <c r="O810" s="9">
        <v>0.33829999999999999</v>
      </c>
      <c r="P810" s="9">
        <v>1.1687000000000001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27.8686 * CHOOSE(CONTROL!$C$15, $D$11, 100%, $F$11)</f>
        <v>27.868600000000001</v>
      </c>
      <c r="C811" s="8">
        <f>27.879 * CHOOSE(CONTROL!$C$15, $D$11, 100%, $F$11)</f>
        <v>27.879000000000001</v>
      </c>
      <c r="D811" s="8">
        <f>27.86 * CHOOSE( CONTROL!$C$15, $D$11, 100%, $F$11)</f>
        <v>27.86</v>
      </c>
      <c r="E811" s="12">
        <f>27.8658 * CHOOSE( CONTROL!$C$15, $D$11, 100%, $F$11)</f>
        <v>27.8658</v>
      </c>
      <c r="F811" s="4">
        <f>28.8675 * CHOOSE(CONTROL!$C$15, $D$11, 100%, $F$11)</f>
        <v>28.8675</v>
      </c>
      <c r="G811" s="8">
        <f>27.1731 * CHOOSE( CONTROL!$C$15, $D$11, 100%, $F$11)</f>
        <v>27.173100000000002</v>
      </c>
      <c r="H811" s="4">
        <f>28.0629 * CHOOSE(CONTROL!$C$15, $D$11, 100%, $F$11)</f>
        <v>28.062899999999999</v>
      </c>
      <c r="I811" s="8">
        <f>26.7704 * CHOOSE(CONTROL!$C$15, $D$11, 100%, $F$11)</f>
        <v>26.770399999999999</v>
      </c>
      <c r="J811" s="4">
        <f>26.6989 * CHOOSE(CONTROL!$C$15, $D$11, 100%, $F$11)</f>
        <v>26.698899999999998</v>
      </c>
      <c r="K811" s="4"/>
      <c r="L811" s="9">
        <v>27.3993</v>
      </c>
      <c r="M811" s="9">
        <v>12.063700000000001</v>
      </c>
      <c r="N811" s="9">
        <v>4.9444999999999997</v>
      </c>
      <c r="O811" s="9">
        <v>0.37459999999999999</v>
      </c>
      <c r="P811" s="9">
        <v>1.2939000000000001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28.2921 * CHOOSE(CONTROL!$C$15, $D$11, 100%, $F$11)</f>
        <v>28.292100000000001</v>
      </c>
      <c r="C812" s="8">
        <f>28.3025 * CHOOSE(CONTROL!$C$15, $D$11, 100%, $F$11)</f>
        <v>28.302499999999998</v>
      </c>
      <c r="D812" s="8">
        <f>28.3065 * CHOOSE( CONTROL!$C$15, $D$11, 100%, $F$11)</f>
        <v>28.3065</v>
      </c>
      <c r="E812" s="12">
        <f>28.304 * CHOOSE( CONTROL!$C$15, $D$11, 100%, $F$11)</f>
        <v>28.303999999999998</v>
      </c>
      <c r="F812" s="4">
        <f>29.2993 * CHOOSE(CONTROL!$C$15, $D$11, 100%, $F$11)</f>
        <v>29.299299999999999</v>
      </c>
      <c r="G812" s="8">
        <f>27.5743 * CHOOSE( CONTROL!$C$15, $D$11, 100%, $F$11)</f>
        <v>27.574300000000001</v>
      </c>
      <c r="H812" s="4">
        <f>28.4839 * CHOOSE(CONTROL!$C$15, $D$11, 100%, $F$11)</f>
        <v>28.483899999999998</v>
      </c>
      <c r="I812" s="8">
        <f>27.1665 * CHOOSE(CONTROL!$C$15, $D$11, 100%, $F$11)</f>
        <v>27.166499999999999</v>
      </c>
      <c r="J812" s="4">
        <f>27.1047 * CHOOSE(CONTROL!$C$15, $D$11, 100%, $F$11)</f>
        <v>27.104700000000001</v>
      </c>
      <c r="K812" s="4"/>
      <c r="L812" s="9">
        <v>27.988800000000001</v>
      </c>
      <c r="M812" s="9">
        <v>11.6745</v>
      </c>
      <c r="N812" s="9">
        <v>4.7850000000000001</v>
      </c>
      <c r="O812" s="9">
        <v>0.36249999999999999</v>
      </c>
      <c r="P812" s="9">
        <v>1.1798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CONTROL!$C$32, 29.0511, 29.0458) * CHOOSE(CONTROL!$C$15, $D$11, 100%, $F$11)</f>
        <v>29.051100000000002</v>
      </c>
      <c r="C813" s="8">
        <f>CHOOSE( CONTROL!$C$32, 29.0615, 29.0562) * CHOOSE(CONTROL!$C$15, $D$11, 100%, $F$11)</f>
        <v>29.061499999999999</v>
      </c>
      <c r="D813" s="8">
        <f>CHOOSE( CONTROL!$C$32, 29.0743, 29.0691) * CHOOSE( CONTROL!$C$15, $D$11, 100%, $F$11)</f>
        <v>29.074300000000001</v>
      </c>
      <c r="E813" s="12">
        <f>CHOOSE( CONTROL!$C$32, 29.0681, 29.0628) * CHOOSE( CONTROL!$C$15, $D$11, 100%, $F$11)</f>
        <v>29.068100000000001</v>
      </c>
      <c r="F813" s="4">
        <f>CHOOSE( CONTROL!$C$32, 30.074, 30.0687) * CHOOSE(CONTROL!$C$15, $D$11, 100%, $F$11)</f>
        <v>30.074000000000002</v>
      </c>
      <c r="G813" s="8">
        <f>CHOOSE( CONTROL!$C$32, 28.3197, 28.3146) * CHOOSE( CONTROL!$C$15, $D$11, 100%, $F$11)</f>
        <v>28.319700000000001</v>
      </c>
      <c r="H813" s="4">
        <f>CHOOSE( CONTROL!$C$32, 29.239, 29.2339) * CHOOSE(CONTROL!$C$15, $D$11, 100%, $F$11)</f>
        <v>29.239000000000001</v>
      </c>
      <c r="I813" s="8">
        <f>CHOOSE( CONTROL!$C$32, 27.8994, 27.8944) * CHOOSE(CONTROL!$C$15, $D$11, 100%, $F$11)</f>
        <v>27.8994</v>
      </c>
      <c r="J813" s="4">
        <f>CHOOSE( CONTROL!$C$32, 27.832, 27.8269) * CHOOSE(CONTROL!$C$15, $D$11, 100%, $F$11)</f>
        <v>27.832000000000001</v>
      </c>
      <c r="K813" s="4"/>
      <c r="L813" s="9">
        <v>29.520499999999998</v>
      </c>
      <c r="M813" s="9">
        <v>12.063700000000001</v>
      </c>
      <c r="N813" s="9">
        <v>4.9444999999999997</v>
      </c>
      <c r="O813" s="9">
        <v>0.37459999999999999</v>
      </c>
      <c r="P813" s="9">
        <v>1.2192000000000001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CONTROL!$C$32, 28.5842, 28.5789) * CHOOSE(CONTROL!$C$15, $D$11, 100%, $F$11)</f>
        <v>28.584199999999999</v>
      </c>
      <c r="C814" s="8">
        <f>CHOOSE( CONTROL!$C$32, 28.5946, 28.5893) * CHOOSE(CONTROL!$C$15, $D$11, 100%, $F$11)</f>
        <v>28.5946</v>
      </c>
      <c r="D814" s="8">
        <f>CHOOSE( CONTROL!$C$32, 28.615, 28.6098) * CHOOSE( CONTROL!$C$15, $D$11, 100%, $F$11)</f>
        <v>28.614999999999998</v>
      </c>
      <c r="E814" s="12">
        <f>CHOOSE( CONTROL!$C$32, 28.606, 28.6008) * CHOOSE( CONTROL!$C$15, $D$11, 100%, $F$11)</f>
        <v>28.606000000000002</v>
      </c>
      <c r="F814" s="4">
        <f>CHOOSE( CONTROL!$C$32, 29.6196, 29.6143) * CHOOSE(CONTROL!$C$15, $D$11, 100%, $F$11)</f>
        <v>29.619599999999998</v>
      </c>
      <c r="G814" s="8">
        <f>CHOOSE( CONTROL!$C$32, 27.8685, 27.8633) * CHOOSE( CONTROL!$C$15, $D$11, 100%, $F$11)</f>
        <v>27.868500000000001</v>
      </c>
      <c r="H814" s="4">
        <f>CHOOSE( CONTROL!$C$32, 28.7961, 28.7909) * CHOOSE(CONTROL!$C$15, $D$11, 100%, $F$11)</f>
        <v>28.796099999999999</v>
      </c>
      <c r="I814" s="8">
        <f>CHOOSE( CONTROL!$C$32, 27.457, 27.452) * CHOOSE(CONTROL!$C$15, $D$11, 100%, $F$11)</f>
        <v>27.457000000000001</v>
      </c>
      <c r="J814" s="4">
        <f>CHOOSE( CONTROL!$C$32, 27.3846, 27.3795) * CHOOSE(CONTROL!$C$15, $D$11, 100%, $F$11)</f>
        <v>27.384599999999999</v>
      </c>
      <c r="K814" s="4"/>
      <c r="L814" s="9">
        <v>28.568200000000001</v>
      </c>
      <c r="M814" s="9">
        <v>11.6745</v>
      </c>
      <c r="N814" s="9">
        <v>4.7850000000000001</v>
      </c>
      <c r="O814" s="9">
        <v>0.36249999999999999</v>
      </c>
      <c r="P814" s="9">
        <v>1.1798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CONTROL!$C$32, 29.8137, 29.8084) * CHOOSE(CONTROL!$C$15, $D$11, 100%, $F$11)</f>
        <v>29.813700000000001</v>
      </c>
      <c r="C815" s="8">
        <f>CHOOSE( CONTROL!$C$32, 29.8241, 29.8189) * CHOOSE(CONTROL!$C$15, $D$11, 100%, $F$11)</f>
        <v>29.824100000000001</v>
      </c>
      <c r="D815" s="8">
        <f>CHOOSE( CONTROL!$C$32, 29.8347, 29.8295) * CHOOSE( CONTROL!$C$15, $D$11, 100%, $F$11)</f>
        <v>29.834700000000002</v>
      </c>
      <c r="E815" s="12">
        <f>CHOOSE( CONTROL!$C$32, 29.8293, 29.8241) * CHOOSE( CONTROL!$C$15, $D$11, 100%, $F$11)</f>
        <v>29.8293</v>
      </c>
      <c r="F815" s="4">
        <f>CHOOSE( CONTROL!$C$32, 30.8491, 30.8439) * CHOOSE(CONTROL!$C$15, $D$11, 100%, $F$11)</f>
        <v>30.8491</v>
      </c>
      <c r="G815" s="8">
        <f>CHOOSE( CONTROL!$C$32, 29.0537, 29.0486) * CHOOSE( CONTROL!$C$15, $D$11, 100%, $F$11)</f>
        <v>29.053699999999999</v>
      </c>
      <c r="H815" s="4">
        <f>CHOOSE( CONTROL!$C$32, 29.9946, 29.9895) * CHOOSE(CONTROL!$C$15, $D$11, 100%, $F$11)</f>
        <v>29.994599999999998</v>
      </c>
      <c r="I815" s="8">
        <f>CHOOSE( CONTROL!$C$32, 28.6392, 28.6341) * CHOOSE(CONTROL!$C$15, $D$11, 100%, $F$11)</f>
        <v>28.639199999999999</v>
      </c>
      <c r="J815" s="4">
        <f>CHOOSE( CONTROL!$C$32, 28.5627, 28.5577) * CHOOSE(CONTROL!$C$15, $D$11, 100%, $F$11)</f>
        <v>28.5627</v>
      </c>
      <c r="K815" s="4"/>
      <c r="L815" s="9">
        <v>29.520499999999998</v>
      </c>
      <c r="M815" s="9">
        <v>12.063700000000001</v>
      </c>
      <c r="N815" s="9">
        <v>4.9444999999999997</v>
      </c>
      <c r="O815" s="9">
        <v>0.37459999999999999</v>
      </c>
      <c r="P815" s="9">
        <v>1.2192000000000001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CONTROL!$C$32, 27.5131, 27.5078) * CHOOSE(CONTROL!$C$15, $D$11, 100%, $F$11)</f>
        <v>27.513100000000001</v>
      </c>
      <c r="C816" s="8">
        <f>CHOOSE( CONTROL!$C$32, 27.5235, 27.5183) * CHOOSE(CONTROL!$C$15, $D$11, 100%, $F$11)</f>
        <v>27.523499999999999</v>
      </c>
      <c r="D816" s="8">
        <f>CHOOSE( CONTROL!$C$32, 27.5345, 27.5292) * CHOOSE( CONTROL!$C$15, $D$11, 100%, $F$11)</f>
        <v>27.534500000000001</v>
      </c>
      <c r="E816" s="12">
        <f>CHOOSE( CONTROL!$C$32, 27.5289, 27.5236) * CHOOSE( CONTROL!$C$15, $D$11, 100%, $F$11)</f>
        <v>27.5289</v>
      </c>
      <c r="F816" s="4">
        <f>CHOOSE( CONTROL!$C$32, 28.5485, 28.5433) * CHOOSE(CONTROL!$C$15, $D$11, 100%, $F$11)</f>
        <v>28.548500000000001</v>
      </c>
      <c r="G816" s="8">
        <f>CHOOSE( CONTROL!$C$32, 26.8117, 26.8065) * CHOOSE( CONTROL!$C$15, $D$11, 100%, $F$11)</f>
        <v>26.811699999999998</v>
      </c>
      <c r="H816" s="4">
        <f>CHOOSE( CONTROL!$C$32, 27.752, 27.7469) * CHOOSE(CONTROL!$C$15, $D$11, 100%, $F$11)</f>
        <v>27.751999999999999</v>
      </c>
      <c r="I816" s="8">
        <f>CHOOSE( CONTROL!$C$32, 26.4352, 26.4302) * CHOOSE(CONTROL!$C$15, $D$11, 100%, $F$11)</f>
        <v>26.435199999999998</v>
      </c>
      <c r="J816" s="4">
        <f>CHOOSE( CONTROL!$C$32, 26.3583, 26.3532) * CHOOSE(CONTROL!$C$15, $D$11, 100%, $F$11)</f>
        <v>26.3583</v>
      </c>
      <c r="K816" s="4"/>
      <c r="L816" s="9">
        <v>29.520499999999998</v>
      </c>
      <c r="M816" s="9">
        <v>12.063700000000001</v>
      </c>
      <c r="N816" s="9">
        <v>4.9444999999999997</v>
      </c>
      <c r="O816" s="9">
        <v>0.37459999999999999</v>
      </c>
      <c r="P816" s="9">
        <v>1.2192000000000001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CONTROL!$C$32, 26.937, 26.9317) * CHOOSE(CONTROL!$C$15, $D$11, 100%, $F$11)</f>
        <v>26.937000000000001</v>
      </c>
      <c r="C817" s="8">
        <f>CHOOSE( CONTROL!$C$32, 26.9474, 26.9422) * CHOOSE(CONTROL!$C$15, $D$11, 100%, $F$11)</f>
        <v>26.947399999999998</v>
      </c>
      <c r="D817" s="8">
        <f>CHOOSE( CONTROL!$C$32, 26.9585, 26.9532) * CHOOSE( CONTROL!$C$15, $D$11, 100%, $F$11)</f>
        <v>26.958500000000001</v>
      </c>
      <c r="E817" s="12">
        <f>CHOOSE( CONTROL!$C$32, 26.9529, 26.9476) * CHOOSE( CONTROL!$C$15, $D$11, 100%, $F$11)</f>
        <v>26.9529</v>
      </c>
      <c r="F817" s="4">
        <f>CHOOSE( CONTROL!$C$32, 27.9724, 27.9672) * CHOOSE(CONTROL!$C$15, $D$11, 100%, $F$11)</f>
        <v>27.9724</v>
      </c>
      <c r="G817" s="8">
        <f>CHOOSE( CONTROL!$C$32, 26.2503, 26.2452) * CHOOSE( CONTROL!$C$15, $D$11, 100%, $F$11)</f>
        <v>26.250299999999999</v>
      </c>
      <c r="H817" s="4">
        <f>CHOOSE( CONTROL!$C$32, 27.1905, 27.1853) * CHOOSE(CONTROL!$C$15, $D$11, 100%, $F$11)</f>
        <v>27.1905</v>
      </c>
      <c r="I817" s="8">
        <f>CHOOSE( CONTROL!$C$32, 25.8836, 25.8786) * CHOOSE(CONTROL!$C$15, $D$11, 100%, $F$11)</f>
        <v>25.883600000000001</v>
      </c>
      <c r="J817" s="4">
        <f>CHOOSE( CONTROL!$C$32, 25.8063, 25.8012) * CHOOSE(CONTROL!$C$15, $D$11, 100%, $F$11)</f>
        <v>25.8063</v>
      </c>
      <c r="K817" s="4"/>
      <c r="L817" s="9">
        <v>28.568200000000001</v>
      </c>
      <c r="M817" s="9">
        <v>11.6745</v>
      </c>
      <c r="N817" s="9">
        <v>4.7850000000000001</v>
      </c>
      <c r="O817" s="9">
        <v>0.36249999999999999</v>
      </c>
      <c r="P817" s="9">
        <v>1.1798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28.1279 * CHOOSE(CONTROL!$C$15, $D$11, 100%, $F$11)</f>
        <v>28.1279</v>
      </c>
      <c r="C818" s="8">
        <f>28.1383 * CHOOSE(CONTROL!$C$15, $D$11, 100%, $F$11)</f>
        <v>28.138300000000001</v>
      </c>
      <c r="D818" s="8">
        <f>28.1507 * CHOOSE( CONTROL!$C$15, $D$11, 100%, $F$11)</f>
        <v>28.150700000000001</v>
      </c>
      <c r="E818" s="12">
        <f>28.1455 * CHOOSE( CONTROL!$C$15, $D$11, 100%, $F$11)</f>
        <v>28.145499999999998</v>
      </c>
      <c r="F818" s="4">
        <f>29.1633 * CHOOSE(CONTROL!$C$15, $D$11, 100%, $F$11)</f>
        <v>29.1633</v>
      </c>
      <c r="G818" s="8">
        <f>27.4105 * CHOOSE( CONTROL!$C$15, $D$11, 100%, $F$11)</f>
        <v>27.410499999999999</v>
      </c>
      <c r="H818" s="4">
        <f>28.3513 * CHOOSE(CONTROL!$C$15, $D$11, 100%, $F$11)</f>
        <v>28.351299999999998</v>
      </c>
      <c r="I818" s="8">
        <f>27.0268 * CHOOSE(CONTROL!$C$15, $D$11, 100%, $F$11)</f>
        <v>27.026800000000001</v>
      </c>
      <c r="J818" s="4">
        <f>26.9474 * CHOOSE(CONTROL!$C$15, $D$11, 100%, $F$11)</f>
        <v>26.947399999999998</v>
      </c>
      <c r="K818" s="4"/>
      <c r="L818" s="9">
        <v>28.921800000000001</v>
      </c>
      <c r="M818" s="9">
        <v>12.063700000000001</v>
      </c>
      <c r="N818" s="9">
        <v>4.9444999999999997</v>
      </c>
      <c r="O818" s="9">
        <v>0.37459999999999999</v>
      </c>
      <c r="P818" s="9">
        <v>1.2192000000000001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30.3358 * CHOOSE(CONTROL!$C$15, $D$11, 100%, $F$11)</f>
        <v>30.335799999999999</v>
      </c>
      <c r="C819" s="8">
        <f>30.3463 * CHOOSE(CONTROL!$C$15, $D$11, 100%, $F$11)</f>
        <v>30.346299999999999</v>
      </c>
      <c r="D819" s="8">
        <f>30.33 * CHOOSE( CONTROL!$C$15, $D$11, 100%, $F$11)</f>
        <v>30.33</v>
      </c>
      <c r="E819" s="12">
        <f>30.3348 * CHOOSE( CONTROL!$C$15, $D$11, 100%, $F$11)</f>
        <v>30.334800000000001</v>
      </c>
      <c r="F819" s="4">
        <f>31.33 * CHOOSE(CONTROL!$C$15, $D$11, 100%, $F$11)</f>
        <v>31.33</v>
      </c>
      <c r="G819" s="8">
        <f>29.5837 * CHOOSE( CONTROL!$C$15, $D$11, 100%, $F$11)</f>
        <v>29.5837</v>
      </c>
      <c r="H819" s="4">
        <f>30.4634 * CHOOSE(CONTROL!$C$15, $D$11, 100%, $F$11)</f>
        <v>30.4634</v>
      </c>
      <c r="I819" s="8">
        <f>29.1803 * CHOOSE(CONTROL!$C$15, $D$11, 100%, $F$11)</f>
        <v>29.180299999999999</v>
      </c>
      <c r="J819" s="4">
        <f>29.063 * CHOOSE(CONTROL!$C$15, $D$11, 100%, $F$11)</f>
        <v>29.062999999999999</v>
      </c>
      <c r="K819" s="4"/>
      <c r="L819" s="9">
        <v>26.515499999999999</v>
      </c>
      <c r="M819" s="9">
        <v>11.6745</v>
      </c>
      <c r="N819" s="9">
        <v>4.7850000000000001</v>
      </c>
      <c r="O819" s="9">
        <v>0.36249999999999999</v>
      </c>
      <c r="P819" s="9">
        <v>1.2522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30.2807 * CHOOSE(CONTROL!$C$15, $D$11, 100%, $F$11)</f>
        <v>30.2807</v>
      </c>
      <c r="C820" s="8">
        <f>30.2911 * CHOOSE(CONTROL!$C$15, $D$11, 100%, $F$11)</f>
        <v>30.2911</v>
      </c>
      <c r="D820" s="8">
        <f>30.2771 * CHOOSE( CONTROL!$C$15, $D$11, 100%, $F$11)</f>
        <v>30.277100000000001</v>
      </c>
      <c r="E820" s="12">
        <f>30.2811 * CHOOSE( CONTROL!$C$15, $D$11, 100%, $F$11)</f>
        <v>30.281099999999999</v>
      </c>
      <c r="F820" s="4">
        <f>31.2749 * CHOOSE(CONTROL!$C$15, $D$11, 100%, $F$11)</f>
        <v>31.274899999999999</v>
      </c>
      <c r="G820" s="8">
        <f>29.5317 * CHOOSE( CONTROL!$C$15, $D$11, 100%, $F$11)</f>
        <v>29.531700000000001</v>
      </c>
      <c r="H820" s="4">
        <f>30.4096 * CHOOSE(CONTROL!$C$15, $D$11, 100%, $F$11)</f>
        <v>30.409600000000001</v>
      </c>
      <c r="I820" s="8">
        <f>29.135 * CHOOSE(CONTROL!$C$15, $D$11, 100%, $F$11)</f>
        <v>29.135000000000002</v>
      </c>
      <c r="J820" s="4">
        <f>29.0102 * CHOOSE(CONTROL!$C$15, $D$11, 100%, $F$11)</f>
        <v>29.010200000000001</v>
      </c>
      <c r="K820" s="4"/>
      <c r="L820" s="9">
        <v>27.3993</v>
      </c>
      <c r="M820" s="9">
        <v>12.063700000000001</v>
      </c>
      <c r="N820" s="9">
        <v>4.9444999999999997</v>
      </c>
      <c r="O820" s="9">
        <v>0.37459999999999999</v>
      </c>
      <c r="P820" s="9">
        <v>1.2939000000000001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31.4378 * CHOOSE(CONTROL!$C$15, $D$11, 100%, $F$11)</f>
        <v>31.437799999999999</v>
      </c>
      <c r="C821" s="8">
        <f>31.4482 * CHOOSE(CONTROL!$C$15, $D$11, 100%, $F$11)</f>
        <v>31.4482</v>
      </c>
      <c r="D821" s="8">
        <f>31.4475 * CHOOSE( CONTROL!$C$15, $D$11, 100%, $F$11)</f>
        <v>31.447500000000002</v>
      </c>
      <c r="E821" s="12">
        <f>31.4466 * CHOOSE( CONTROL!$C$15, $D$11, 100%, $F$11)</f>
        <v>31.4466</v>
      </c>
      <c r="F821" s="4">
        <f>32.4607 * CHOOSE(CONTROL!$C$15, $D$11, 100%, $F$11)</f>
        <v>32.460700000000003</v>
      </c>
      <c r="G821" s="8">
        <f>30.6732 * CHOOSE( CONTROL!$C$15, $D$11, 100%, $F$11)</f>
        <v>30.673200000000001</v>
      </c>
      <c r="H821" s="4">
        <f>31.5655 * CHOOSE(CONTROL!$C$15, $D$11, 100%, $F$11)</f>
        <v>31.5655</v>
      </c>
      <c r="I821" s="8">
        <f>30.2426 * CHOOSE(CONTROL!$C$15, $D$11, 100%, $F$11)</f>
        <v>30.242599999999999</v>
      </c>
      <c r="J821" s="4">
        <f>30.1189 * CHOOSE(CONTROL!$C$15, $D$11, 100%, $F$11)</f>
        <v>30.1189</v>
      </c>
      <c r="K821" s="4"/>
      <c r="L821" s="9">
        <v>27.3993</v>
      </c>
      <c r="M821" s="9">
        <v>12.063700000000001</v>
      </c>
      <c r="N821" s="9">
        <v>4.9444999999999997</v>
      </c>
      <c r="O821" s="9">
        <v>0.37459999999999999</v>
      </c>
      <c r="P821" s="9">
        <v>1.2939000000000001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29.4057 * CHOOSE(CONTROL!$C$15, $D$11, 100%, $F$11)</f>
        <v>29.4057</v>
      </c>
      <c r="C822" s="8">
        <f>29.4161 * CHOOSE(CONTROL!$C$15, $D$11, 100%, $F$11)</f>
        <v>29.4161</v>
      </c>
      <c r="D822" s="8">
        <f>29.4176 * CHOOSE( CONTROL!$C$15, $D$11, 100%, $F$11)</f>
        <v>29.4176</v>
      </c>
      <c r="E822" s="12">
        <f>29.4159 * CHOOSE( CONTROL!$C$15, $D$11, 100%, $F$11)</f>
        <v>29.415900000000001</v>
      </c>
      <c r="F822" s="4">
        <f>30.4208 * CHOOSE(CONTROL!$C$15, $D$11, 100%, $F$11)</f>
        <v>30.4208</v>
      </c>
      <c r="G822" s="8">
        <f>28.6922 * CHOOSE( CONTROL!$C$15, $D$11, 100%, $F$11)</f>
        <v>28.6922</v>
      </c>
      <c r="H822" s="4">
        <f>29.5771 * CHOOSE(CONTROL!$C$15, $D$11, 100%, $F$11)</f>
        <v>29.577100000000002</v>
      </c>
      <c r="I822" s="8">
        <f>28.2835 * CHOOSE(CONTROL!$C$15, $D$11, 100%, $F$11)</f>
        <v>28.2835</v>
      </c>
      <c r="J822" s="4">
        <f>28.1718 * CHOOSE(CONTROL!$C$15, $D$11, 100%, $F$11)</f>
        <v>28.171800000000001</v>
      </c>
      <c r="K822" s="4"/>
      <c r="L822" s="9">
        <v>24.747800000000002</v>
      </c>
      <c r="M822" s="9">
        <v>10.8962</v>
      </c>
      <c r="N822" s="9">
        <v>4.4660000000000002</v>
      </c>
      <c r="O822" s="9">
        <v>0.33829999999999999</v>
      </c>
      <c r="P822" s="9">
        <v>1.1687000000000001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28.7798 * CHOOSE(CONTROL!$C$15, $D$11, 100%, $F$11)</f>
        <v>28.779800000000002</v>
      </c>
      <c r="C823" s="8">
        <f>28.7903 * CHOOSE(CONTROL!$C$15, $D$11, 100%, $F$11)</f>
        <v>28.790299999999998</v>
      </c>
      <c r="D823" s="8">
        <f>28.7713 * CHOOSE( CONTROL!$C$15, $D$11, 100%, $F$11)</f>
        <v>28.7713</v>
      </c>
      <c r="E823" s="12">
        <f>28.7771 * CHOOSE( CONTROL!$C$15, $D$11, 100%, $F$11)</f>
        <v>28.777100000000001</v>
      </c>
      <c r="F823" s="4">
        <f>29.7787 * CHOOSE(CONTROL!$C$15, $D$11, 100%, $F$11)</f>
        <v>29.778700000000001</v>
      </c>
      <c r="G823" s="8">
        <f>28.0614 * CHOOSE( CONTROL!$C$15, $D$11, 100%, $F$11)</f>
        <v>28.061399999999999</v>
      </c>
      <c r="H823" s="4">
        <f>28.9512 * CHOOSE(CONTROL!$C$15, $D$11, 100%, $F$11)</f>
        <v>28.9512</v>
      </c>
      <c r="I823" s="8">
        <f>27.644 * CHOOSE(CONTROL!$C$15, $D$11, 100%, $F$11)</f>
        <v>27.643999999999998</v>
      </c>
      <c r="J823" s="4">
        <f>27.5721 * CHOOSE(CONTROL!$C$15, $D$11, 100%, $F$11)</f>
        <v>27.572099999999999</v>
      </c>
      <c r="K823" s="4"/>
      <c r="L823" s="9">
        <v>27.3993</v>
      </c>
      <c r="M823" s="9">
        <v>12.063700000000001</v>
      </c>
      <c r="N823" s="9">
        <v>4.9444999999999997</v>
      </c>
      <c r="O823" s="9">
        <v>0.37459999999999999</v>
      </c>
      <c r="P823" s="9">
        <v>1.2939000000000001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29.2172 * CHOOSE(CONTROL!$C$15, $D$11, 100%, $F$11)</f>
        <v>29.217199999999998</v>
      </c>
      <c r="C824" s="8">
        <f>29.2276 * CHOOSE(CONTROL!$C$15, $D$11, 100%, $F$11)</f>
        <v>29.227599999999999</v>
      </c>
      <c r="D824" s="8">
        <f>29.2316 * CHOOSE( CONTROL!$C$15, $D$11, 100%, $F$11)</f>
        <v>29.2316</v>
      </c>
      <c r="E824" s="12">
        <f>29.2291 * CHOOSE( CONTROL!$C$15, $D$11, 100%, $F$11)</f>
        <v>29.229099999999999</v>
      </c>
      <c r="F824" s="4">
        <f>30.2244 * CHOOSE(CONTROL!$C$15, $D$11, 100%, $F$11)</f>
        <v>30.224399999999999</v>
      </c>
      <c r="G824" s="8">
        <f>28.476 * CHOOSE( CONTROL!$C$15, $D$11, 100%, $F$11)</f>
        <v>28.475999999999999</v>
      </c>
      <c r="H824" s="4">
        <f>29.3857 * CHOOSE(CONTROL!$C$15, $D$11, 100%, $F$11)</f>
        <v>29.3857</v>
      </c>
      <c r="I824" s="8">
        <f>28.0534 * CHOOSE(CONTROL!$C$15, $D$11, 100%, $F$11)</f>
        <v>28.0534</v>
      </c>
      <c r="J824" s="4">
        <f>27.9911 * CHOOSE(CONTROL!$C$15, $D$11, 100%, $F$11)</f>
        <v>27.991099999999999</v>
      </c>
      <c r="K824" s="4"/>
      <c r="L824" s="9">
        <v>27.988800000000001</v>
      </c>
      <c r="M824" s="9">
        <v>11.6745</v>
      </c>
      <c r="N824" s="9">
        <v>4.7850000000000001</v>
      </c>
      <c r="O824" s="9">
        <v>0.36249999999999999</v>
      </c>
      <c r="P824" s="9">
        <v>1.1798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CONTROL!$C$32, 30.0008, 29.9955) * CHOOSE(CONTROL!$C$15, $D$11, 100%, $F$11)</f>
        <v>30.000800000000002</v>
      </c>
      <c r="C825" s="8">
        <f>CHOOSE( CONTROL!$C$32, 30.0112, 30.006) * CHOOSE(CONTROL!$C$15, $D$11, 100%, $F$11)</f>
        <v>30.011199999999999</v>
      </c>
      <c r="D825" s="8">
        <f>CHOOSE( CONTROL!$C$32, 30.0241, 30.0188) * CHOOSE( CONTROL!$C$15, $D$11, 100%, $F$11)</f>
        <v>30.024100000000001</v>
      </c>
      <c r="E825" s="12">
        <f>CHOOSE( CONTROL!$C$32, 30.0178, 30.0126) * CHOOSE( CONTROL!$C$15, $D$11, 100%, $F$11)</f>
        <v>30.017800000000001</v>
      </c>
      <c r="F825" s="4">
        <f>CHOOSE( CONTROL!$C$32, 31.0237, 31.0185) * CHOOSE(CONTROL!$C$15, $D$11, 100%, $F$11)</f>
        <v>31.023700000000002</v>
      </c>
      <c r="G825" s="8">
        <f>CHOOSE( CONTROL!$C$32, 29.2455, 29.2404) * CHOOSE( CONTROL!$C$15, $D$11, 100%, $F$11)</f>
        <v>29.2455</v>
      </c>
      <c r="H825" s="4">
        <f>CHOOSE( CONTROL!$C$32, 30.1648, 30.1596) * CHOOSE(CONTROL!$C$15, $D$11, 100%, $F$11)</f>
        <v>30.1648</v>
      </c>
      <c r="I825" s="8">
        <f>CHOOSE( CONTROL!$C$32, 28.8099, 28.8049) * CHOOSE(CONTROL!$C$15, $D$11, 100%, $F$11)</f>
        <v>28.809899999999999</v>
      </c>
      <c r="J825" s="4">
        <f>CHOOSE( CONTROL!$C$32, 28.742, 28.737) * CHOOSE(CONTROL!$C$15, $D$11, 100%, $F$11)</f>
        <v>28.742000000000001</v>
      </c>
      <c r="K825" s="4"/>
      <c r="L825" s="9">
        <v>29.520499999999998</v>
      </c>
      <c r="M825" s="9">
        <v>12.063700000000001</v>
      </c>
      <c r="N825" s="9">
        <v>4.9444999999999997</v>
      </c>
      <c r="O825" s="9">
        <v>0.37459999999999999</v>
      </c>
      <c r="P825" s="9">
        <v>1.2192000000000001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CONTROL!$C$32, 29.5186, 29.5134) * CHOOSE(CONTROL!$C$15, $D$11, 100%, $F$11)</f>
        <v>29.518599999999999</v>
      </c>
      <c r="C826" s="8">
        <f>CHOOSE( CONTROL!$C$32, 29.5291, 29.5238) * CHOOSE(CONTROL!$C$15, $D$11, 100%, $F$11)</f>
        <v>29.5291</v>
      </c>
      <c r="D826" s="8">
        <f>CHOOSE( CONTROL!$C$32, 29.5495, 29.5442) * CHOOSE( CONTROL!$C$15, $D$11, 100%, $F$11)</f>
        <v>29.549499999999998</v>
      </c>
      <c r="E826" s="12">
        <f>CHOOSE( CONTROL!$C$32, 29.5405, 29.5352) * CHOOSE( CONTROL!$C$15, $D$11, 100%, $F$11)</f>
        <v>29.540500000000002</v>
      </c>
      <c r="F826" s="4">
        <f>CHOOSE( CONTROL!$C$32, 30.5541, 30.5488) * CHOOSE(CONTROL!$C$15, $D$11, 100%, $F$11)</f>
        <v>30.554099999999998</v>
      </c>
      <c r="G826" s="8">
        <f>CHOOSE( CONTROL!$C$32, 28.7794, 28.7742) * CHOOSE( CONTROL!$C$15, $D$11, 100%, $F$11)</f>
        <v>28.779399999999999</v>
      </c>
      <c r="H826" s="4">
        <f>CHOOSE( CONTROL!$C$32, 29.707, 29.7018) * CHOOSE(CONTROL!$C$15, $D$11, 100%, $F$11)</f>
        <v>29.707000000000001</v>
      </c>
      <c r="I826" s="8">
        <f>CHOOSE( CONTROL!$C$32, 28.3529, 28.3479) * CHOOSE(CONTROL!$C$15, $D$11, 100%, $F$11)</f>
        <v>28.352900000000002</v>
      </c>
      <c r="J826" s="4">
        <f>CHOOSE( CONTROL!$C$32, 28.28, 28.275) * CHOOSE(CONTROL!$C$15, $D$11, 100%, $F$11)</f>
        <v>28.28</v>
      </c>
      <c r="K826" s="4"/>
      <c r="L826" s="9">
        <v>28.568200000000001</v>
      </c>
      <c r="M826" s="9">
        <v>11.6745</v>
      </c>
      <c r="N826" s="9">
        <v>4.7850000000000001</v>
      </c>
      <c r="O826" s="9">
        <v>0.36249999999999999</v>
      </c>
      <c r="P826" s="9">
        <v>1.1798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CONTROL!$C$32, 30.7884, 30.7831) * CHOOSE(CONTROL!$C$15, $D$11, 100%, $F$11)</f>
        <v>30.788399999999999</v>
      </c>
      <c r="C827" s="8">
        <f>CHOOSE( CONTROL!$C$32, 30.7988, 30.7936) * CHOOSE(CONTROL!$C$15, $D$11, 100%, $F$11)</f>
        <v>30.7988</v>
      </c>
      <c r="D827" s="8">
        <f>CHOOSE( CONTROL!$C$32, 30.8094, 30.8042) * CHOOSE( CONTROL!$C$15, $D$11, 100%, $F$11)</f>
        <v>30.8094</v>
      </c>
      <c r="E827" s="12">
        <f>CHOOSE( CONTROL!$C$32, 30.804, 30.7988) * CHOOSE( CONTROL!$C$15, $D$11, 100%, $F$11)</f>
        <v>30.803999999999998</v>
      </c>
      <c r="F827" s="4">
        <f>CHOOSE( CONTROL!$C$32, 31.8238, 31.8186) * CHOOSE(CONTROL!$C$15, $D$11, 100%, $F$11)</f>
        <v>31.823799999999999</v>
      </c>
      <c r="G827" s="8">
        <f>CHOOSE( CONTROL!$C$32, 30.0038, 29.9987) * CHOOSE( CONTROL!$C$15, $D$11, 100%, $F$11)</f>
        <v>30.003799999999998</v>
      </c>
      <c r="H827" s="4">
        <f>CHOOSE( CONTROL!$C$32, 30.9447, 30.9396) * CHOOSE(CONTROL!$C$15, $D$11, 100%, $F$11)</f>
        <v>30.944700000000001</v>
      </c>
      <c r="I827" s="8">
        <f>CHOOSE( CONTROL!$C$32, 29.5736, 29.5685) * CHOOSE(CONTROL!$C$15, $D$11, 100%, $F$11)</f>
        <v>29.573599999999999</v>
      </c>
      <c r="J827" s="4">
        <f>CHOOSE( CONTROL!$C$32, 29.4967, 29.4916) * CHOOSE(CONTROL!$C$15, $D$11, 100%, $F$11)</f>
        <v>29.496700000000001</v>
      </c>
      <c r="K827" s="4"/>
      <c r="L827" s="9">
        <v>29.520499999999998</v>
      </c>
      <c r="M827" s="9">
        <v>12.063700000000001</v>
      </c>
      <c r="N827" s="9">
        <v>4.9444999999999997</v>
      </c>
      <c r="O827" s="9">
        <v>0.37459999999999999</v>
      </c>
      <c r="P827" s="9">
        <v>1.2192000000000001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CONTROL!$C$32, 28.4125, 28.4073) * CHOOSE(CONTROL!$C$15, $D$11, 100%, $F$11)</f>
        <v>28.412500000000001</v>
      </c>
      <c r="C828" s="8">
        <f>CHOOSE( CONTROL!$C$32, 28.423, 28.4177) * CHOOSE(CONTROL!$C$15, $D$11, 100%, $F$11)</f>
        <v>28.422999999999998</v>
      </c>
      <c r="D828" s="8">
        <f>CHOOSE( CONTROL!$C$32, 28.4339, 28.4286) * CHOOSE( CONTROL!$C$15, $D$11, 100%, $F$11)</f>
        <v>28.433900000000001</v>
      </c>
      <c r="E828" s="12">
        <f>CHOOSE( CONTROL!$C$32, 28.4283, 28.4231) * CHOOSE( CONTROL!$C$15, $D$11, 100%, $F$11)</f>
        <v>28.4283</v>
      </c>
      <c r="F828" s="4">
        <f>CHOOSE( CONTROL!$C$32, 29.448, 29.4427) * CHOOSE(CONTROL!$C$15, $D$11, 100%, $F$11)</f>
        <v>29.448</v>
      </c>
      <c r="G828" s="8">
        <f>CHOOSE( CONTROL!$C$32, 27.6884, 27.6833) * CHOOSE( CONTROL!$C$15, $D$11, 100%, $F$11)</f>
        <v>27.688400000000001</v>
      </c>
      <c r="H828" s="4">
        <f>CHOOSE( CONTROL!$C$32, 28.6288, 28.6237) * CHOOSE(CONTROL!$C$15, $D$11, 100%, $F$11)</f>
        <v>28.628799999999998</v>
      </c>
      <c r="I828" s="8">
        <f>CHOOSE( CONTROL!$C$32, 27.2975, 27.2925) * CHOOSE(CONTROL!$C$15, $D$11, 100%, $F$11)</f>
        <v>27.297499999999999</v>
      </c>
      <c r="J828" s="4">
        <f>CHOOSE( CONTROL!$C$32, 27.2201, 27.2151) * CHOOSE(CONTROL!$C$15, $D$11, 100%, $F$11)</f>
        <v>27.220099999999999</v>
      </c>
      <c r="K828" s="4"/>
      <c r="L828" s="9">
        <v>29.520499999999998</v>
      </c>
      <c r="M828" s="9">
        <v>12.063700000000001</v>
      </c>
      <c r="N828" s="9">
        <v>4.9444999999999997</v>
      </c>
      <c r="O828" s="9">
        <v>0.37459999999999999</v>
      </c>
      <c r="P828" s="9">
        <v>1.2192000000000001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CONTROL!$C$32, 27.8176, 27.8123) * CHOOSE(CONTROL!$C$15, $D$11, 100%, $F$11)</f>
        <v>27.817599999999999</v>
      </c>
      <c r="C829" s="8">
        <f>CHOOSE( CONTROL!$C$32, 27.828, 27.8228) * CHOOSE(CONTROL!$C$15, $D$11, 100%, $F$11)</f>
        <v>27.827999999999999</v>
      </c>
      <c r="D829" s="8">
        <f>CHOOSE( CONTROL!$C$32, 27.8391, 27.8338) * CHOOSE( CONTROL!$C$15, $D$11, 100%, $F$11)</f>
        <v>27.839099999999998</v>
      </c>
      <c r="E829" s="12">
        <f>CHOOSE( CONTROL!$C$32, 27.8335, 27.8282) * CHOOSE( CONTROL!$C$15, $D$11, 100%, $F$11)</f>
        <v>27.833500000000001</v>
      </c>
      <c r="F829" s="4">
        <f>CHOOSE( CONTROL!$C$32, 28.853, 28.8478) * CHOOSE(CONTROL!$C$15, $D$11, 100%, $F$11)</f>
        <v>28.853000000000002</v>
      </c>
      <c r="G829" s="8">
        <f>CHOOSE( CONTROL!$C$32, 27.1087, 27.1036) * CHOOSE( CONTROL!$C$15, $D$11, 100%, $F$11)</f>
        <v>27.108699999999999</v>
      </c>
      <c r="H829" s="4">
        <f>CHOOSE( CONTROL!$C$32, 28.0488, 28.0437) * CHOOSE(CONTROL!$C$15, $D$11, 100%, $F$11)</f>
        <v>28.0488</v>
      </c>
      <c r="I829" s="8">
        <f>CHOOSE( CONTROL!$C$32, 26.7278, 26.7228) * CHOOSE(CONTROL!$C$15, $D$11, 100%, $F$11)</f>
        <v>26.727799999999998</v>
      </c>
      <c r="J829" s="4">
        <f>CHOOSE( CONTROL!$C$32, 26.6501, 26.645) * CHOOSE(CONTROL!$C$15, $D$11, 100%, $F$11)</f>
        <v>26.650099999999998</v>
      </c>
      <c r="K829" s="4"/>
      <c r="L829" s="9">
        <v>28.568200000000001</v>
      </c>
      <c r="M829" s="9">
        <v>11.6745</v>
      </c>
      <c r="N829" s="9">
        <v>4.7850000000000001</v>
      </c>
      <c r="O829" s="9">
        <v>0.36249999999999999</v>
      </c>
      <c r="P829" s="9">
        <v>1.1798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29.0476 * CHOOSE(CONTROL!$C$15, $D$11, 100%, $F$11)</f>
        <v>29.047599999999999</v>
      </c>
      <c r="C830" s="8">
        <f>29.0581 * CHOOSE(CONTROL!$C$15, $D$11, 100%, $F$11)</f>
        <v>29.0581</v>
      </c>
      <c r="D830" s="8">
        <f>29.0704 * CHOOSE( CONTROL!$C$15, $D$11, 100%, $F$11)</f>
        <v>29.070399999999999</v>
      </c>
      <c r="E830" s="12">
        <f>29.0652 * CHOOSE( CONTROL!$C$15, $D$11, 100%, $F$11)</f>
        <v>29.065200000000001</v>
      </c>
      <c r="F830" s="4">
        <f>30.0831 * CHOOSE(CONTROL!$C$15, $D$11, 100%, $F$11)</f>
        <v>30.083100000000002</v>
      </c>
      <c r="G830" s="8">
        <f>28.3071 * CHOOSE( CONTROL!$C$15, $D$11, 100%, $F$11)</f>
        <v>28.307099999999998</v>
      </c>
      <c r="H830" s="4">
        <f>29.2479 * CHOOSE(CONTROL!$C$15, $D$11, 100%, $F$11)</f>
        <v>29.247900000000001</v>
      </c>
      <c r="I830" s="8">
        <f>27.9085 * CHOOSE(CONTROL!$C$15, $D$11, 100%, $F$11)</f>
        <v>27.9085</v>
      </c>
      <c r="J830" s="4">
        <f>27.8287 * CHOOSE(CONTROL!$C$15, $D$11, 100%, $F$11)</f>
        <v>27.828700000000001</v>
      </c>
      <c r="K830" s="4"/>
      <c r="L830" s="9">
        <v>28.921800000000001</v>
      </c>
      <c r="M830" s="9">
        <v>12.063700000000001</v>
      </c>
      <c r="N830" s="9">
        <v>4.9444999999999997</v>
      </c>
      <c r="O830" s="9">
        <v>0.37459999999999999</v>
      </c>
      <c r="P830" s="9">
        <v>1.2192000000000001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31.3278 * CHOOSE(CONTROL!$C$15, $D$11, 100%, $F$11)</f>
        <v>31.3278</v>
      </c>
      <c r="C831" s="8">
        <f>31.3382 * CHOOSE(CONTROL!$C$15, $D$11, 100%, $F$11)</f>
        <v>31.338200000000001</v>
      </c>
      <c r="D831" s="8">
        <f>31.3219 * CHOOSE( CONTROL!$C$15, $D$11, 100%, $F$11)</f>
        <v>31.321899999999999</v>
      </c>
      <c r="E831" s="12">
        <f>31.3268 * CHOOSE( CONTROL!$C$15, $D$11, 100%, $F$11)</f>
        <v>31.326799999999999</v>
      </c>
      <c r="F831" s="4">
        <f>32.322 * CHOOSE(CONTROL!$C$15, $D$11, 100%, $F$11)</f>
        <v>32.322000000000003</v>
      </c>
      <c r="G831" s="8">
        <f>30.5506 * CHOOSE( CONTROL!$C$15, $D$11, 100%, $F$11)</f>
        <v>30.550599999999999</v>
      </c>
      <c r="H831" s="4">
        <f>31.4303 * CHOOSE(CONTROL!$C$15, $D$11, 100%, $F$11)</f>
        <v>31.430299999999999</v>
      </c>
      <c r="I831" s="8">
        <f>30.1312 * CHOOSE(CONTROL!$C$15, $D$11, 100%, $F$11)</f>
        <v>30.1312</v>
      </c>
      <c r="J831" s="4">
        <f>30.0135 * CHOOSE(CONTROL!$C$15, $D$11, 100%, $F$11)</f>
        <v>30.013500000000001</v>
      </c>
      <c r="K831" s="4"/>
      <c r="L831" s="9">
        <v>26.515499999999999</v>
      </c>
      <c r="M831" s="9">
        <v>11.6745</v>
      </c>
      <c r="N831" s="9">
        <v>4.7850000000000001</v>
      </c>
      <c r="O831" s="9">
        <v>0.36249999999999999</v>
      </c>
      <c r="P831" s="9">
        <v>1.2522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31.2708 * CHOOSE(CONTROL!$C$15, $D$11, 100%, $F$11)</f>
        <v>31.270800000000001</v>
      </c>
      <c r="C832" s="8">
        <f>31.2812 * CHOOSE(CONTROL!$C$15, $D$11, 100%, $F$11)</f>
        <v>31.281199999999998</v>
      </c>
      <c r="D832" s="8">
        <f>31.2673 * CHOOSE( CONTROL!$C$15, $D$11, 100%, $F$11)</f>
        <v>31.267299999999999</v>
      </c>
      <c r="E832" s="12">
        <f>31.2713 * CHOOSE( CONTROL!$C$15, $D$11, 100%, $F$11)</f>
        <v>31.2713</v>
      </c>
      <c r="F832" s="4">
        <f>32.265 * CHOOSE(CONTROL!$C$15, $D$11, 100%, $F$11)</f>
        <v>32.265000000000001</v>
      </c>
      <c r="G832" s="8">
        <f>30.4968 * CHOOSE( CONTROL!$C$15, $D$11, 100%, $F$11)</f>
        <v>30.4968</v>
      </c>
      <c r="H832" s="4">
        <f>31.3747 * CHOOSE(CONTROL!$C$15, $D$11, 100%, $F$11)</f>
        <v>31.374700000000001</v>
      </c>
      <c r="I832" s="8">
        <f>30.0842 * CHOOSE(CONTROL!$C$15, $D$11, 100%, $F$11)</f>
        <v>30.084199999999999</v>
      </c>
      <c r="J832" s="4">
        <f>29.9589 * CHOOSE(CONTROL!$C$15, $D$11, 100%, $F$11)</f>
        <v>29.9589</v>
      </c>
      <c r="K832" s="4"/>
      <c r="L832" s="9">
        <v>27.3993</v>
      </c>
      <c r="M832" s="9">
        <v>12.063700000000001</v>
      </c>
      <c r="N832" s="9">
        <v>4.9444999999999997</v>
      </c>
      <c r="O832" s="9">
        <v>0.37459999999999999</v>
      </c>
      <c r="P832" s="9">
        <v>1.2939000000000001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32.4657 * CHOOSE(CONTROL!$C$15, $D$11, 100%, $F$11)</f>
        <v>32.465699999999998</v>
      </c>
      <c r="C833" s="8">
        <f>32.4762 * CHOOSE(CONTROL!$C$15, $D$11, 100%, $F$11)</f>
        <v>32.476199999999999</v>
      </c>
      <c r="D833" s="8">
        <f>32.4755 * CHOOSE( CONTROL!$C$15, $D$11, 100%, $F$11)</f>
        <v>32.475499999999997</v>
      </c>
      <c r="E833" s="12">
        <f>32.4746 * CHOOSE( CONTROL!$C$15, $D$11, 100%, $F$11)</f>
        <v>32.474600000000002</v>
      </c>
      <c r="F833" s="4">
        <f>33.4887 * CHOOSE(CONTROL!$C$15, $D$11, 100%, $F$11)</f>
        <v>33.488700000000001</v>
      </c>
      <c r="G833" s="8">
        <f>31.6752 * CHOOSE( CONTROL!$C$15, $D$11, 100%, $F$11)</f>
        <v>31.6752</v>
      </c>
      <c r="H833" s="4">
        <f>32.5675 * CHOOSE(CONTROL!$C$15, $D$11, 100%, $F$11)</f>
        <v>32.567500000000003</v>
      </c>
      <c r="I833" s="8">
        <f>31.2281 * CHOOSE(CONTROL!$C$15, $D$11, 100%, $F$11)</f>
        <v>31.228100000000001</v>
      </c>
      <c r="J833" s="4">
        <f>31.1039 * CHOOSE(CONTROL!$C$15, $D$11, 100%, $F$11)</f>
        <v>31.103899999999999</v>
      </c>
      <c r="K833" s="4"/>
      <c r="L833" s="9">
        <v>27.3993</v>
      </c>
      <c r="M833" s="9">
        <v>12.063700000000001</v>
      </c>
      <c r="N833" s="9">
        <v>4.9444999999999997</v>
      </c>
      <c r="O833" s="9">
        <v>0.37459999999999999</v>
      </c>
      <c r="P833" s="9">
        <v>1.2939000000000001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30.3672 * CHOOSE(CONTROL!$C$15, $D$11, 100%, $F$11)</f>
        <v>30.3672</v>
      </c>
      <c r="C834" s="8">
        <f>30.3776 * CHOOSE(CONTROL!$C$15, $D$11, 100%, $F$11)</f>
        <v>30.377600000000001</v>
      </c>
      <c r="D834" s="8">
        <f>30.3792 * CHOOSE( CONTROL!$C$15, $D$11, 100%, $F$11)</f>
        <v>30.379200000000001</v>
      </c>
      <c r="E834" s="12">
        <f>30.3775 * CHOOSE( CONTROL!$C$15, $D$11, 100%, $F$11)</f>
        <v>30.377500000000001</v>
      </c>
      <c r="F834" s="4">
        <f>31.3823 * CHOOSE(CONTROL!$C$15, $D$11, 100%, $F$11)</f>
        <v>31.382300000000001</v>
      </c>
      <c r="G834" s="8">
        <f>29.6294 * CHOOSE( CONTROL!$C$15, $D$11, 100%, $F$11)</f>
        <v>29.6294</v>
      </c>
      <c r="H834" s="4">
        <f>30.5143 * CHOOSE(CONTROL!$C$15, $D$11, 100%, $F$11)</f>
        <v>30.514299999999999</v>
      </c>
      <c r="I834" s="8">
        <f>29.2053 * CHOOSE(CONTROL!$C$15, $D$11, 100%, $F$11)</f>
        <v>29.205300000000001</v>
      </c>
      <c r="J834" s="4">
        <f>29.0931 * CHOOSE(CONTROL!$C$15, $D$11, 100%, $F$11)</f>
        <v>29.0931</v>
      </c>
      <c r="K834" s="4"/>
      <c r="L834" s="9">
        <v>25.631599999999999</v>
      </c>
      <c r="M834" s="9">
        <v>11.285299999999999</v>
      </c>
      <c r="N834" s="9">
        <v>4.6254999999999997</v>
      </c>
      <c r="O834" s="9">
        <v>0.35039999999999999</v>
      </c>
      <c r="P834" s="9">
        <v>1.2104999999999999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29.7209 * CHOOSE(CONTROL!$C$15, $D$11, 100%, $F$11)</f>
        <v>29.7209</v>
      </c>
      <c r="C835" s="8">
        <f>29.7313 * CHOOSE(CONTROL!$C$15, $D$11, 100%, $F$11)</f>
        <v>29.731300000000001</v>
      </c>
      <c r="D835" s="8">
        <f>29.7123 * CHOOSE( CONTROL!$C$15, $D$11, 100%, $F$11)</f>
        <v>29.712299999999999</v>
      </c>
      <c r="E835" s="12">
        <f>29.7181 * CHOOSE( CONTROL!$C$15, $D$11, 100%, $F$11)</f>
        <v>29.7181</v>
      </c>
      <c r="F835" s="4">
        <f>30.7198 * CHOOSE(CONTROL!$C$15, $D$11, 100%, $F$11)</f>
        <v>30.719799999999999</v>
      </c>
      <c r="G835" s="8">
        <f>28.9787 * CHOOSE( CONTROL!$C$15, $D$11, 100%, $F$11)</f>
        <v>28.9787</v>
      </c>
      <c r="H835" s="4">
        <f>29.8685 * CHOOSE(CONTROL!$C$15, $D$11, 100%, $F$11)</f>
        <v>29.868500000000001</v>
      </c>
      <c r="I835" s="8">
        <f>28.5462 * CHOOSE(CONTROL!$C$15, $D$11, 100%, $F$11)</f>
        <v>28.546199999999999</v>
      </c>
      <c r="J835" s="4">
        <f>28.4738 * CHOOSE(CONTROL!$C$15, $D$11, 100%, $F$11)</f>
        <v>28.473800000000001</v>
      </c>
      <c r="K835" s="4"/>
      <c r="L835" s="9">
        <v>27.3993</v>
      </c>
      <c r="M835" s="9">
        <v>12.063700000000001</v>
      </c>
      <c r="N835" s="9">
        <v>4.9444999999999997</v>
      </c>
      <c r="O835" s="9">
        <v>0.37459999999999999</v>
      </c>
      <c r="P835" s="9">
        <v>1.2939000000000001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30.1725 * CHOOSE(CONTROL!$C$15, $D$11, 100%, $F$11)</f>
        <v>30.172499999999999</v>
      </c>
      <c r="C836" s="8">
        <f>30.183 * CHOOSE(CONTROL!$C$15, $D$11, 100%, $F$11)</f>
        <v>30.183</v>
      </c>
      <c r="D836" s="8">
        <f>30.187 * CHOOSE( CONTROL!$C$15, $D$11, 100%, $F$11)</f>
        <v>30.187000000000001</v>
      </c>
      <c r="E836" s="12">
        <f>30.1845 * CHOOSE( CONTROL!$C$15, $D$11, 100%, $F$11)</f>
        <v>30.1845</v>
      </c>
      <c r="F836" s="4">
        <f>31.1798 * CHOOSE(CONTROL!$C$15, $D$11, 100%, $F$11)</f>
        <v>31.1798</v>
      </c>
      <c r="G836" s="8">
        <f>29.4073 * CHOOSE( CONTROL!$C$15, $D$11, 100%, $F$11)</f>
        <v>29.407299999999999</v>
      </c>
      <c r="H836" s="4">
        <f>30.3169 * CHOOSE(CONTROL!$C$15, $D$11, 100%, $F$11)</f>
        <v>30.3169</v>
      </c>
      <c r="I836" s="8">
        <f>28.9692 * CHOOSE(CONTROL!$C$15, $D$11, 100%, $F$11)</f>
        <v>28.969200000000001</v>
      </c>
      <c r="J836" s="4">
        <f>28.9065 * CHOOSE(CONTROL!$C$15, $D$11, 100%, $F$11)</f>
        <v>28.906500000000001</v>
      </c>
      <c r="K836" s="4"/>
      <c r="L836" s="9">
        <v>27.988800000000001</v>
      </c>
      <c r="M836" s="9">
        <v>11.6745</v>
      </c>
      <c r="N836" s="9">
        <v>4.7850000000000001</v>
      </c>
      <c r="O836" s="9">
        <v>0.36249999999999999</v>
      </c>
      <c r="P836" s="9">
        <v>1.1798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CONTROL!$C$32, 30.9816, 30.9763) * CHOOSE(CONTROL!$C$15, $D$11, 100%, $F$11)</f>
        <v>30.9816</v>
      </c>
      <c r="C837" s="8">
        <f>CHOOSE( CONTROL!$C$32, 30.992, 30.9868) * CHOOSE(CONTROL!$C$15, $D$11, 100%, $F$11)</f>
        <v>30.992000000000001</v>
      </c>
      <c r="D837" s="8">
        <f>CHOOSE( CONTROL!$C$32, 31.0049, 30.9996) * CHOOSE( CONTROL!$C$15, $D$11, 100%, $F$11)</f>
        <v>31.004899999999999</v>
      </c>
      <c r="E837" s="12">
        <f>CHOOSE( CONTROL!$C$32, 30.9986, 30.9934) * CHOOSE( CONTROL!$C$15, $D$11, 100%, $F$11)</f>
        <v>30.9986</v>
      </c>
      <c r="F837" s="4">
        <f>CHOOSE( CONTROL!$C$32, 32.0045, 31.9993) * CHOOSE(CONTROL!$C$15, $D$11, 100%, $F$11)</f>
        <v>32.0045</v>
      </c>
      <c r="G837" s="8">
        <f>CHOOSE( CONTROL!$C$32, 30.2016, 30.1964) * CHOOSE( CONTROL!$C$15, $D$11, 100%, $F$11)</f>
        <v>30.201599999999999</v>
      </c>
      <c r="H837" s="4">
        <f>CHOOSE( CONTROL!$C$32, 31.1208, 31.1157) * CHOOSE(CONTROL!$C$15, $D$11, 100%, $F$11)</f>
        <v>31.120799999999999</v>
      </c>
      <c r="I837" s="8">
        <f>CHOOSE( CONTROL!$C$32, 29.7502, 29.7452) * CHOOSE(CONTROL!$C$15, $D$11, 100%, $F$11)</f>
        <v>29.7502</v>
      </c>
      <c r="J837" s="4">
        <f>CHOOSE( CONTROL!$C$32, 29.6818, 29.6768) * CHOOSE(CONTROL!$C$15, $D$11, 100%, $F$11)</f>
        <v>29.681799999999999</v>
      </c>
      <c r="K837" s="4"/>
      <c r="L837" s="9">
        <v>29.520499999999998</v>
      </c>
      <c r="M837" s="9">
        <v>12.063700000000001</v>
      </c>
      <c r="N837" s="9">
        <v>4.9444999999999997</v>
      </c>
      <c r="O837" s="9">
        <v>0.37459999999999999</v>
      </c>
      <c r="P837" s="9">
        <v>1.2192000000000001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CONTROL!$C$32, 30.4837, 30.4784) * CHOOSE(CONTROL!$C$15, $D$11, 100%, $F$11)</f>
        <v>30.483699999999999</v>
      </c>
      <c r="C838" s="8">
        <f>CHOOSE( CONTROL!$C$32, 30.4941, 30.4888) * CHOOSE(CONTROL!$C$15, $D$11, 100%, $F$11)</f>
        <v>30.4941</v>
      </c>
      <c r="D838" s="8">
        <f>CHOOSE( CONTROL!$C$32, 30.5145, 30.5093) * CHOOSE( CONTROL!$C$15, $D$11, 100%, $F$11)</f>
        <v>30.514500000000002</v>
      </c>
      <c r="E838" s="12">
        <f>CHOOSE( CONTROL!$C$32, 30.5055, 30.5003) * CHOOSE( CONTROL!$C$15, $D$11, 100%, $F$11)</f>
        <v>30.505500000000001</v>
      </c>
      <c r="F838" s="4">
        <f>CHOOSE( CONTROL!$C$32, 31.5191, 31.5138) * CHOOSE(CONTROL!$C$15, $D$11, 100%, $F$11)</f>
        <v>31.519100000000002</v>
      </c>
      <c r="G838" s="8">
        <f>CHOOSE( CONTROL!$C$32, 29.72, 29.7149) * CHOOSE( CONTROL!$C$15, $D$11, 100%, $F$11)</f>
        <v>29.72</v>
      </c>
      <c r="H838" s="4">
        <f>CHOOSE( CONTROL!$C$32, 30.6477, 30.6425) * CHOOSE(CONTROL!$C$15, $D$11, 100%, $F$11)</f>
        <v>30.6477</v>
      </c>
      <c r="I838" s="8">
        <f>CHOOSE( CONTROL!$C$32, 29.2781, 29.273) * CHOOSE(CONTROL!$C$15, $D$11, 100%, $F$11)</f>
        <v>29.278099999999998</v>
      </c>
      <c r="J838" s="4">
        <f>CHOOSE( CONTROL!$C$32, 29.2047, 29.1996) * CHOOSE(CONTROL!$C$15, $D$11, 100%, $F$11)</f>
        <v>29.204699999999999</v>
      </c>
      <c r="K838" s="4"/>
      <c r="L838" s="9">
        <v>28.568200000000001</v>
      </c>
      <c r="M838" s="9">
        <v>11.6745</v>
      </c>
      <c r="N838" s="9">
        <v>4.7850000000000001</v>
      </c>
      <c r="O838" s="9">
        <v>0.36249999999999999</v>
      </c>
      <c r="P838" s="9">
        <v>1.1798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CONTROL!$C$32, 31.7949, 31.7897) * CHOOSE(CONTROL!$C$15, $D$11, 100%, $F$11)</f>
        <v>31.794899999999998</v>
      </c>
      <c r="C839" s="8">
        <f>CHOOSE( CONTROL!$C$32, 31.8054, 31.8001) * CHOOSE(CONTROL!$C$15, $D$11, 100%, $F$11)</f>
        <v>31.805399999999999</v>
      </c>
      <c r="D839" s="8">
        <f>CHOOSE( CONTROL!$C$32, 31.816, 31.8107) * CHOOSE( CONTROL!$C$15, $D$11, 100%, $F$11)</f>
        <v>31.815999999999999</v>
      </c>
      <c r="E839" s="12">
        <f>CHOOSE( CONTROL!$C$32, 31.8106, 31.8053) * CHOOSE( CONTROL!$C$15, $D$11, 100%, $F$11)</f>
        <v>31.810600000000001</v>
      </c>
      <c r="F839" s="4">
        <f>CHOOSE( CONTROL!$C$32, 32.8304, 32.8251) * CHOOSE(CONTROL!$C$15, $D$11, 100%, $F$11)</f>
        <v>32.830399999999997</v>
      </c>
      <c r="G839" s="8">
        <f>CHOOSE( CONTROL!$C$32, 30.985, 30.9799) * CHOOSE( CONTROL!$C$15, $D$11, 100%, $F$11)</f>
        <v>30.984999999999999</v>
      </c>
      <c r="H839" s="4">
        <f>CHOOSE( CONTROL!$C$32, 31.9259, 31.9207) * CHOOSE(CONTROL!$C$15, $D$11, 100%, $F$11)</f>
        <v>31.925899999999999</v>
      </c>
      <c r="I839" s="8">
        <f>CHOOSE( CONTROL!$C$32, 30.5385, 30.5335) * CHOOSE(CONTROL!$C$15, $D$11, 100%, $F$11)</f>
        <v>30.538499999999999</v>
      </c>
      <c r="J839" s="4">
        <f>CHOOSE( CONTROL!$C$32, 30.4612, 30.4561) * CHOOSE(CONTROL!$C$15, $D$11, 100%, $F$11)</f>
        <v>30.461200000000002</v>
      </c>
      <c r="K839" s="4"/>
      <c r="L839" s="9">
        <v>29.520499999999998</v>
      </c>
      <c r="M839" s="9">
        <v>12.063700000000001</v>
      </c>
      <c r="N839" s="9">
        <v>4.9444999999999997</v>
      </c>
      <c r="O839" s="9">
        <v>0.37459999999999999</v>
      </c>
      <c r="P839" s="9">
        <v>1.2192000000000001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CONTROL!$C$32, 29.3414, 29.3361) * CHOOSE(CONTROL!$C$15, $D$11, 100%, $F$11)</f>
        <v>29.3414</v>
      </c>
      <c r="C840" s="8">
        <f>CHOOSE( CONTROL!$C$32, 29.3518, 29.3466) * CHOOSE(CONTROL!$C$15, $D$11, 100%, $F$11)</f>
        <v>29.351800000000001</v>
      </c>
      <c r="D840" s="8">
        <f>CHOOSE( CONTROL!$C$32, 29.3628, 29.3575) * CHOOSE( CONTROL!$C$15, $D$11, 100%, $F$11)</f>
        <v>29.3628</v>
      </c>
      <c r="E840" s="12">
        <f>CHOOSE( CONTROL!$C$32, 29.3572, 29.3519) * CHOOSE( CONTROL!$C$15, $D$11, 100%, $F$11)</f>
        <v>29.357199999999999</v>
      </c>
      <c r="F840" s="4">
        <f>CHOOSE( CONTROL!$C$32, 30.3768, 30.3716) * CHOOSE(CONTROL!$C$15, $D$11, 100%, $F$11)</f>
        <v>30.376799999999999</v>
      </c>
      <c r="G840" s="8">
        <f>CHOOSE( CONTROL!$C$32, 28.5938, 28.5887) * CHOOSE( CONTROL!$C$15, $D$11, 100%, $F$11)</f>
        <v>28.593800000000002</v>
      </c>
      <c r="H840" s="4">
        <f>CHOOSE( CONTROL!$C$32, 29.5342, 29.5291) * CHOOSE(CONTROL!$C$15, $D$11, 100%, $F$11)</f>
        <v>29.534199999999998</v>
      </c>
      <c r="I840" s="8">
        <f>CHOOSE( CONTROL!$C$32, 28.188, 28.183) * CHOOSE(CONTROL!$C$15, $D$11, 100%, $F$11)</f>
        <v>28.187999999999999</v>
      </c>
      <c r="J840" s="4">
        <f>CHOOSE( CONTROL!$C$32, 28.1102, 28.1051) * CHOOSE(CONTROL!$C$15, $D$11, 100%, $F$11)</f>
        <v>28.110199999999999</v>
      </c>
      <c r="K840" s="4"/>
      <c r="L840" s="9">
        <v>29.520499999999998</v>
      </c>
      <c r="M840" s="9">
        <v>12.063700000000001</v>
      </c>
      <c r="N840" s="9">
        <v>4.9444999999999997</v>
      </c>
      <c r="O840" s="9">
        <v>0.37459999999999999</v>
      </c>
      <c r="P840" s="9">
        <v>1.2192000000000001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CONTROL!$C$32, 28.727, 28.7217) * CHOOSE(CONTROL!$C$15, $D$11, 100%, $F$11)</f>
        <v>28.727</v>
      </c>
      <c r="C841" s="8">
        <f>CHOOSE( CONTROL!$C$32, 28.7374, 28.7322) * CHOOSE(CONTROL!$C$15, $D$11, 100%, $F$11)</f>
        <v>28.737400000000001</v>
      </c>
      <c r="D841" s="8">
        <f>CHOOSE( CONTROL!$C$32, 28.7485, 28.7433) * CHOOSE( CONTROL!$C$15, $D$11, 100%, $F$11)</f>
        <v>28.7485</v>
      </c>
      <c r="E841" s="12">
        <f>CHOOSE( CONTROL!$C$32, 28.7429, 28.7377) * CHOOSE( CONTROL!$C$15, $D$11, 100%, $F$11)</f>
        <v>28.742899999999999</v>
      </c>
      <c r="F841" s="4">
        <f>CHOOSE( CONTROL!$C$32, 29.7624, 29.7572) * CHOOSE(CONTROL!$C$15, $D$11, 100%, $F$11)</f>
        <v>29.7624</v>
      </c>
      <c r="G841" s="8">
        <f>CHOOSE( CONTROL!$C$32, 27.9952, 27.99) * CHOOSE( CONTROL!$C$15, $D$11, 100%, $F$11)</f>
        <v>27.995200000000001</v>
      </c>
      <c r="H841" s="4">
        <f>CHOOSE( CONTROL!$C$32, 28.9353, 28.9302) * CHOOSE(CONTROL!$C$15, $D$11, 100%, $F$11)</f>
        <v>28.935300000000002</v>
      </c>
      <c r="I841" s="8">
        <f>CHOOSE( CONTROL!$C$32, 27.5997, 27.5946) * CHOOSE(CONTROL!$C$15, $D$11, 100%, $F$11)</f>
        <v>27.599699999999999</v>
      </c>
      <c r="J841" s="4">
        <f>CHOOSE( CONTROL!$C$32, 27.5214, 27.5164) * CHOOSE(CONTROL!$C$15, $D$11, 100%, $F$11)</f>
        <v>27.5214</v>
      </c>
      <c r="K841" s="4"/>
      <c r="L841" s="9">
        <v>28.568200000000001</v>
      </c>
      <c r="M841" s="9">
        <v>11.6745</v>
      </c>
      <c r="N841" s="9">
        <v>4.7850000000000001</v>
      </c>
      <c r="O841" s="9">
        <v>0.36249999999999999</v>
      </c>
      <c r="P841" s="9">
        <v>1.1798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29.9974 * CHOOSE(CONTROL!$C$15, $D$11, 100%, $F$11)</f>
        <v>29.997399999999999</v>
      </c>
      <c r="C842" s="8">
        <f>30.0079 * CHOOSE(CONTROL!$C$15, $D$11, 100%, $F$11)</f>
        <v>30.007899999999999</v>
      </c>
      <c r="D842" s="8">
        <f>30.0202 * CHOOSE( CONTROL!$C$15, $D$11, 100%, $F$11)</f>
        <v>30.020199999999999</v>
      </c>
      <c r="E842" s="12">
        <f>30.015 * CHOOSE( CONTROL!$C$15, $D$11, 100%, $F$11)</f>
        <v>30.015000000000001</v>
      </c>
      <c r="F842" s="4">
        <f>31.0329 * CHOOSE(CONTROL!$C$15, $D$11, 100%, $F$11)</f>
        <v>31.032900000000001</v>
      </c>
      <c r="G842" s="8">
        <f>29.2329 * CHOOSE( CONTROL!$C$15, $D$11, 100%, $F$11)</f>
        <v>29.232900000000001</v>
      </c>
      <c r="H842" s="4">
        <f>30.1737 * CHOOSE(CONTROL!$C$15, $D$11, 100%, $F$11)</f>
        <v>30.1737</v>
      </c>
      <c r="I842" s="8">
        <f>28.819 * CHOOSE(CONTROL!$C$15, $D$11, 100%, $F$11)</f>
        <v>28.818999999999999</v>
      </c>
      <c r="J842" s="4">
        <f>28.7388 * CHOOSE(CONTROL!$C$15, $D$11, 100%, $F$11)</f>
        <v>28.738800000000001</v>
      </c>
      <c r="K842" s="4"/>
      <c r="L842" s="9">
        <v>28.921800000000001</v>
      </c>
      <c r="M842" s="9">
        <v>12.063700000000001</v>
      </c>
      <c r="N842" s="9">
        <v>4.9444999999999997</v>
      </c>
      <c r="O842" s="9">
        <v>0.37459999999999999</v>
      </c>
      <c r="P842" s="9">
        <v>1.2192000000000001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32.3521 * CHOOSE(CONTROL!$C$15, $D$11, 100%, $F$11)</f>
        <v>32.3521</v>
      </c>
      <c r="C843" s="8">
        <f>32.3626 * CHOOSE(CONTROL!$C$15, $D$11, 100%, $F$11)</f>
        <v>32.3626</v>
      </c>
      <c r="D843" s="8">
        <f>32.3463 * CHOOSE( CONTROL!$C$15, $D$11, 100%, $F$11)</f>
        <v>32.346299999999999</v>
      </c>
      <c r="E843" s="12">
        <f>32.3511 * CHOOSE( CONTROL!$C$15, $D$11, 100%, $F$11)</f>
        <v>32.351100000000002</v>
      </c>
      <c r="F843" s="4">
        <f>33.3463 * CHOOSE(CONTROL!$C$15, $D$11, 100%, $F$11)</f>
        <v>33.346299999999999</v>
      </c>
      <c r="G843" s="8">
        <f>31.5492 * CHOOSE( CONTROL!$C$15, $D$11, 100%, $F$11)</f>
        <v>31.549199999999999</v>
      </c>
      <c r="H843" s="4">
        <f>32.4288 * CHOOSE(CONTROL!$C$15, $D$11, 100%, $F$11)</f>
        <v>32.428800000000003</v>
      </c>
      <c r="I843" s="8">
        <f>31.1133 * CHOOSE(CONTROL!$C$15, $D$11, 100%, $F$11)</f>
        <v>31.113299999999999</v>
      </c>
      <c r="J843" s="4">
        <f>30.995 * CHOOSE(CONTROL!$C$15, $D$11, 100%, $F$11)</f>
        <v>30.995000000000001</v>
      </c>
      <c r="K843" s="4"/>
      <c r="L843" s="9">
        <v>26.515499999999999</v>
      </c>
      <c r="M843" s="9">
        <v>11.6745</v>
      </c>
      <c r="N843" s="9">
        <v>4.7850000000000001</v>
      </c>
      <c r="O843" s="9">
        <v>0.36249999999999999</v>
      </c>
      <c r="P843" s="9">
        <v>1.2522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32.2933 * CHOOSE(CONTROL!$C$15, $D$11, 100%, $F$11)</f>
        <v>32.293300000000002</v>
      </c>
      <c r="C844" s="8">
        <f>32.3037 * CHOOSE(CONTROL!$C$15, $D$11, 100%, $F$11)</f>
        <v>32.303699999999999</v>
      </c>
      <c r="D844" s="8">
        <f>32.2898 * CHOOSE( CONTROL!$C$15, $D$11, 100%, $F$11)</f>
        <v>32.2898</v>
      </c>
      <c r="E844" s="12">
        <f>32.2938 * CHOOSE( CONTROL!$C$15, $D$11, 100%, $F$11)</f>
        <v>32.293799999999997</v>
      </c>
      <c r="F844" s="4">
        <f>33.2875 * CHOOSE(CONTROL!$C$15, $D$11, 100%, $F$11)</f>
        <v>33.287500000000001</v>
      </c>
      <c r="G844" s="8">
        <f>31.4936 * CHOOSE( CONTROL!$C$15, $D$11, 100%, $F$11)</f>
        <v>31.493600000000001</v>
      </c>
      <c r="H844" s="4">
        <f>32.3714 * CHOOSE(CONTROL!$C$15, $D$11, 100%, $F$11)</f>
        <v>32.371400000000001</v>
      </c>
      <c r="I844" s="8">
        <f>31.0645 * CHOOSE(CONTROL!$C$15, $D$11, 100%, $F$11)</f>
        <v>31.064499999999999</v>
      </c>
      <c r="J844" s="4">
        <f>30.9387 * CHOOSE(CONTROL!$C$15, $D$11, 100%, $F$11)</f>
        <v>30.938700000000001</v>
      </c>
      <c r="K844" s="4"/>
      <c r="L844" s="9">
        <v>27.3993</v>
      </c>
      <c r="M844" s="9">
        <v>12.063700000000001</v>
      </c>
      <c r="N844" s="9">
        <v>4.9444999999999997</v>
      </c>
      <c r="O844" s="9">
        <v>0.37459999999999999</v>
      </c>
      <c r="P844" s="9">
        <v>1.2939000000000001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33.5273 * CHOOSE(CONTROL!$C$15, $D$11, 100%, $F$11)</f>
        <v>33.527299999999997</v>
      </c>
      <c r="C845" s="8">
        <f>33.5378 * CHOOSE(CONTROL!$C$15, $D$11, 100%, $F$11)</f>
        <v>33.537799999999997</v>
      </c>
      <c r="D845" s="8">
        <f>33.5371 * CHOOSE( CONTROL!$C$15, $D$11, 100%, $F$11)</f>
        <v>33.537100000000002</v>
      </c>
      <c r="E845" s="12">
        <f>33.5362 * CHOOSE( CONTROL!$C$15, $D$11, 100%, $F$11)</f>
        <v>33.536200000000001</v>
      </c>
      <c r="F845" s="4">
        <f>34.5502 * CHOOSE(CONTROL!$C$15, $D$11, 100%, $F$11)</f>
        <v>34.550199999999997</v>
      </c>
      <c r="G845" s="8">
        <f>32.71 * CHOOSE( CONTROL!$C$15, $D$11, 100%, $F$11)</f>
        <v>32.71</v>
      </c>
      <c r="H845" s="4">
        <f>33.6023 * CHOOSE(CONTROL!$C$15, $D$11, 100%, $F$11)</f>
        <v>33.6023</v>
      </c>
      <c r="I845" s="8">
        <f>32.2458 * CHOOSE(CONTROL!$C$15, $D$11, 100%, $F$11)</f>
        <v>32.245800000000003</v>
      </c>
      <c r="J845" s="4">
        <f>32.1211 * CHOOSE(CONTROL!$C$15, $D$11, 100%, $F$11)</f>
        <v>32.121099999999998</v>
      </c>
      <c r="K845" s="4"/>
      <c r="L845" s="9">
        <v>27.3993</v>
      </c>
      <c r="M845" s="9">
        <v>12.063700000000001</v>
      </c>
      <c r="N845" s="9">
        <v>4.9444999999999997</v>
      </c>
      <c r="O845" s="9">
        <v>0.37459999999999999</v>
      </c>
      <c r="P845" s="9">
        <v>1.2939000000000001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31.3602 * CHOOSE(CONTROL!$C$15, $D$11, 100%, $F$11)</f>
        <v>31.360199999999999</v>
      </c>
      <c r="C846" s="8">
        <f>31.3706 * CHOOSE(CONTROL!$C$15, $D$11, 100%, $F$11)</f>
        <v>31.3706</v>
      </c>
      <c r="D846" s="8">
        <f>31.3721 * CHOOSE( CONTROL!$C$15, $D$11, 100%, $F$11)</f>
        <v>31.3721</v>
      </c>
      <c r="E846" s="12">
        <f>31.3704 * CHOOSE( CONTROL!$C$15, $D$11, 100%, $F$11)</f>
        <v>31.3704</v>
      </c>
      <c r="F846" s="4">
        <f>32.3752 * CHOOSE(CONTROL!$C$15, $D$11, 100%, $F$11)</f>
        <v>32.3752</v>
      </c>
      <c r="G846" s="8">
        <f>30.5973 * CHOOSE( CONTROL!$C$15, $D$11, 100%, $F$11)</f>
        <v>30.597300000000001</v>
      </c>
      <c r="H846" s="4">
        <f>31.4822 * CHOOSE(CONTROL!$C$15, $D$11, 100%, $F$11)</f>
        <v>31.482199999999999</v>
      </c>
      <c r="I846" s="8">
        <f>30.1572 * CHOOSE(CONTROL!$C$15, $D$11, 100%, $F$11)</f>
        <v>30.1572</v>
      </c>
      <c r="J846" s="4">
        <f>30.0446 * CHOOSE(CONTROL!$C$15, $D$11, 100%, $F$11)</f>
        <v>30.044599999999999</v>
      </c>
      <c r="K846" s="4"/>
      <c r="L846" s="9">
        <v>24.747800000000002</v>
      </c>
      <c r="M846" s="9">
        <v>10.8962</v>
      </c>
      <c r="N846" s="9">
        <v>4.4660000000000002</v>
      </c>
      <c r="O846" s="9">
        <v>0.33829999999999999</v>
      </c>
      <c r="P846" s="9">
        <v>1.1687000000000001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30.6927 * CHOOSE(CONTROL!$C$15, $D$11, 100%, $F$11)</f>
        <v>30.692699999999999</v>
      </c>
      <c r="C847" s="8">
        <f>30.7031 * CHOOSE(CONTROL!$C$15, $D$11, 100%, $F$11)</f>
        <v>30.703099999999999</v>
      </c>
      <c r="D847" s="8">
        <f>30.6841 * CHOOSE( CONTROL!$C$15, $D$11, 100%, $F$11)</f>
        <v>30.684100000000001</v>
      </c>
      <c r="E847" s="12">
        <f>30.6899 * CHOOSE( CONTROL!$C$15, $D$11, 100%, $F$11)</f>
        <v>30.689900000000002</v>
      </c>
      <c r="F847" s="4">
        <f>31.6916 * CHOOSE(CONTROL!$C$15, $D$11, 100%, $F$11)</f>
        <v>31.691600000000001</v>
      </c>
      <c r="G847" s="8">
        <f>29.926 * CHOOSE( CONTROL!$C$15, $D$11, 100%, $F$11)</f>
        <v>29.925999999999998</v>
      </c>
      <c r="H847" s="4">
        <f>30.8158 * CHOOSE(CONTROL!$C$15, $D$11, 100%, $F$11)</f>
        <v>30.815799999999999</v>
      </c>
      <c r="I847" s="8">
        <f>29.4778 * CHOOSE(CONTROL!$C$15, $D$11, 100%, $F$11)</f>
        <v>29.477799999999998</v>
      </c>
      <c r="J847" s="4">
        <f>29.405 * CHOOSE(CONTROL!$C$15, $D$11, 100%, $F$11)</f>
        <v>29.405000000000001</v>
      </c>
      <c r="K847" s="4"/>
      <c r="L847" s="9">
        <v>27.3993</v>
      </c>
      <c r="M847" s="9">
        <v>12.063700000000001</v>
      </c>
      <c r="N847" s="9">
        <v>4.9444999999999997</v>
      </c>
      <c r="O847" s="9">
        <v>0.37459999999999999</v>
      </c>
      <c r="P847" s="9">
        <v>1.2939000000000001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31.1591 * CHOOSE(CONTROL!$C$15, $D$11, 100%, $F$11)</f>
        <v>31.159099999999999</v>
      </c>
      <c r="C848" s="8">
        <f>31.1695 * CHOOSE(CONTROL!$C$15, $D$11, 100%, $F$11)</f>
        <v>31.169499999999999</v>
      </c>
      <c r="D848" s="8">
        <f>31.1736 * CHOOSE( CONTROL!$C$15, $D$11, 100%, $F$11)</f>
        <v>31.1736</v>
      </c>
      <c r="E848" s="12">
        <f>31.1711 * CHOOSE( CONTROL!$C$15, $D$11, 100%, $F$11)</f>
        <v>31.171099999999999</v>
      </c>
      <c r="F848" s="4">
        <f>32.1664 * CHOOSE(CONTROL!$C$15, $D$11, 100%, $F$11)</f>
        <v>32.166400000000003</v>
      </c>
      <c r="G848" s="8">
        <f>30.369 * CHOOSE( CONTROL!$C$15, $D$11, 100%, $F$11)</f>
        <v>30.369</v>
      </c>
      <c r="H848" s="4">
        <f>31.2786 * CHOOSE(CONTROL!$C$15, $D$11, 100%, $F$11)</f>
        <v>31.278600000000001</v>
      </c>
      <c r="I848" s="8">
        <f>29.9151 * CHOOSE(CONTROL!$C$15, $D$11, 100%, $F$11)</f>
        <v>29.915099999999999</v>
      </c>
      <c r="J848" s="4">
        <f>29.8519 * CHOOSE(CONTROL!$C$15, $D$11, 100%, $F$11)</f>
        <v>29.851900000000001</v>
      </c>
      <c r="K848" s="4"/>
      <c r="L848" s="9">
        <v>27.988800000000001</v>
      </c>
      <c r="M848" s="9">
        <v>11.6745</v>
      </c>
      <c r="N848" s="9">
        <v>4.7850000000000001</v>
      </c>
      <c r="O848" s="9">
        <v>0.36249999999999999</v>
      </c>
      <c r="P848" s="9">
        <v>1.1798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CONTROL!$C$32, 31.9945, 31.9892) * CHOOSE(CONTROL!$C$15, $D$11, 100%, $F$11)</f>
        <v>31.994499999999999</v>
      </c>
      <c r="C849" s="8">
        <f>CHOOSE( CONTROL!$C$32, 32.0049, 31.9997) * CHOOSE(CONTROL!$C$15, $D$11, 100%, $F$11)</f>
        <v>32.004899999999999</v>
      </c>
      <c r="D849" s="8">
        <f>CHOOSE( CONTROL!$C$32, 32.0178, 32.0125) * CHOOSE( CONTROL!$C$15, $D$11, 100%, $F$11)</f>
        <v>32.017800000000001</v>
      </c>
      <c r="E849" s="12">
        <f>CHOOSE( CONTROL!$C$32, 32.0115, 32.0063) * CHOOSE( CONTROL!$C$15, $D$11, 100%, $F$11)</f>
        <v>32.011499999999998</v>
      </c>
      <c r="F849" s="4">
        <f>CHOOSE( CONTROL!$C$32, 33.0174, 33.0121) * CHOOSE(CONTROL!$C$15, $D$11, 100%, $F$11)</f>
        <v>33.017400000000002</v>
      </c>
      <c r="G849" s="8">
        <f>CHOOSE( CONTROL!$C$32, 31.1889, 31.1838) * CHOOSE( CONTROL!$C$15, $D$11, 100%, $F$11)</f>
        <v>31.1889</v>
      </c>
      <c r="H849" s="4">
        <f>CHOOSE( CONTROL!$C$32, 32.1082, 32.103) * CHOOSE(CONTROL!$C$15, $D$11, 100%, $F$11)</f>
        <v>32.108199999999997</v>
      </c>
      <c r="I849" s="8">
        <f>CHOOSE( CONTROL!$C$32, 30.7212, 30.7162) * CHOOSE(CONTROL!$C$15, $D$11, 100%, $F$11)</f>
        <v>30.7212</v>
      </c>
      <c r="J849" s="4">
        <f>CHOOSE( CONTROL!$C$32, 30.6524, 30.6473) * CHOOSE(CONTROL!$C$15, $D$11, 100%, $F$11)</f>
        <v>30.6524</v>
      </c>
      <c r="K849" s="4"/>
      <c r="L849" s="9">
        <v>29.520499999999998</v>
      </c>
      <c r="M849" s="9">
        <v>12.063700000000001</v>
      </c>
      <c r="N849" s="9">
        <v>4.9444999999999997</v>
      </c>
      <c r="O849" s="9">
        <v>0.37459999999999999</v>
      </c>
      <c r="P849" s="9">
        <v>1.2192000000000001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CONTROL!$C$32, 31.4803, 31.475) * CHOOSE(CONTROL!$C$15, $D$11, 100%, $F$11)</f>
        <v>31.4803</v>
      </c>
      <c r="C850" s="8">
        <f>CHOOSE( CONTROL!$C$32, 31.4907, 31.4854) * CHOOSE(CONTROL!$C$15, $D$11, 100%, $F$11)</f>
        <v>31.4907</v>
      </c>
      <c r="D850" s="8">
        <f>CHOOSE( CONTROL!$C$32, 31.5111, 31.5059) * CHOOSE( CONTROL!$C$15, $D$11, 100%, $F$11)</f>
        <v>31.511099999999999</v>
      </c>
      <c r="E850" s="12">
        <f>CHOOSE( CONTROL!$C$32, 31.5021, 31.4969) * CHOOSE( CONTROL!$C$15, $D$11, 100%, $F$11)</f>
        <v>31.502099999999999</v>
      </c>
      <c r="F850" s="4">
        <f>CHOOSE( CONTROL!$C$32, 32.5157, 32.5104) * CHOOSE(CONTROL!$C$15, $D$11, 100%, $F$11)</f>
        <v>32.515700000000002</v>
      </c>
      <c r="G850" s="8">
        <f>CHOOSE( CONTROL!$C$32, 30.6915, 30.6864) * CHOOSE( CONTROL!$C$15, $D$11, 100%, $F$11)</f>
        <v>30.691500000000001</v>
      </c>
      <c r="H850" s="4">
        <f>CHOOSE( CONTROL!$C$32, 31.6191, 31.614) * CHOOSE(CONTROL!$C$15, $D$11, 100%, $F$11)</f>
        <v>31.6191</v>
      </c>
      <c r="I850" s="8">
        <f>CHOOSE( CONTROL!$C$32, 30.2335, 30.2284) * CHOOSE(CONTROL!$C$15, $D$11, 100%, $F$11)</f>
        <v>30.233499999999999</v>
      </c>
      <c r="J850" s="4">
        <f>CHOOSE( CONTROL!$C$32, 30.1596, 30.1546) * CHOOSE(CONTROL!$C$15, $D$11, 100%, $F$11)</f>
        <v>30.159600000000001</v>
      </c>
      <c r="K850" s="4"/>
      <c r="L850" s="9">
        <v>28.568200000000001</v>
      </c>
      <c r="M850" s="9">
        <v>11.6745</v>
      </c>
      <c r="N850" s="9">
        <v>4.7850000000000001</v>
      </c>
      <c r="O850" s="9">
        <v>0.36249999999999999</v>
      </c>
      <c r="P850" s="9">
        <v>1.1798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CONTROL!$C$32, 32.8344, 32.8292) * CHOOSE(CONTROL!$C$15, $D$11, 100%, $F$11)</f>
        <v>32.834400000000002</v>
      </c>
      <c r="C851" s="8">
        <f>CHOOSE( CONTROL!$C$32, 32.8449, 32.8396) * CHOOSE(CONTROL!$C$15, $D$11, 100%, $F$11)</f>
        <v>32.844900000000003</v>
      </c>
      <c r="D851" s="8">
        <f>CHOOSE( CONTROL!$C$32, 32.8555, 32.8502) * CHOOSE( CONTROL!$C$15, $D$11, 100%, $F$11)</f>
        <v>32.855499999999999</v>
      </c>
      <c r="E851" s="12">
        <f>CHOOSE( CONTROL!$C$32, 32.8501, 32.8448) * CHOOSE( CONTROL!$C$15, $D$11, 100%, $F$11)</f>
        <v>32.850099999999998</v>
      </c>
      <c r="F851" s="4">
        <f>CHOOSE( CONTROL!$C$32, 33.8698, 33.8646) * CHOOSE(CONTROL!$C$15, $D$11, 100%, $F$11)</f>
        <v>33.869799999999998</v>
      </c>
      <c r="G851" s="8">
        <f>CHOOSE( CONTROL!$C$32, 31.9983, 31.9931) * CHOOSE( CONTROL!$C$15, $D$11, 100%, $F$11)</f>
        <v>31.9983</v>
      </c>
      <c r="H851" s="4">
        <f>CHOOSE( CONTROL!$C$32, 32.9391, 32.934) * CHOOSE(CONTROL!$C$15, $D$11, 100%, $F$11)</f>
        <v>32.939100000000003</v>
      </c>
      <c r="I851" s="8">
        <f>CHOOSE( CONTROL!$C$32, 31.5351, 31.53) * CHOOSE(CONTROL!$C$15, $D$11, 100%, $F$11)</f>
        <v>31.5351</v>
      </c>
      <c r="J851" s="4">
        <f>CHOOSE( CONTROL!$C$32, 31.4572, 31.4521) * CHOOSE(CONTROL!$C$15, $D$11, 100%, $F$11)</f>
        <v>31.4572</v>
      </c>
      <c r="K851" s="4"/>
      <c r="L851" s="9">
        <v>29.520499999999998</v>
      </c>
      <c r="M851" s="9">
        <v>12.063700000000001</v>
      </c>
      <c r="N851" s="9">
        <v>4.9444999999999997</v>
      </c>
      <c r="O851" s="9">
        <v>0.37459999999999999</v>
      </c>
      <c r="P851" s="9">
        <v>1.2192000000000001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CONTROL!$C$32, 30.3006, 30.2954) * CHOOSE(CONTROL!$C$15, $D$11, 100%, $F$11)</f>
        <v>30.300599999999999</v>
      </c>
      <c r="C852" s="8">
        <f>CHOOSE( CONTROL!$C$32, 30.3111, 30.3058) * CHOOSE(CONTROL!$C$15, $D$11, 100%, $F$11)</f>
        <v>30.3111</v>
      </c>
      <c r="D852" s="8">
        <f>CHOOSE( CONTROL!$C$32, 30.322, 30.3167) * CHOOSE( CONTROL!$C$15, $D$11, 100%, $F$11)</f>
        <v>30.321999999999999</v>
      </c>
      <c r="E852" s="12">
        <f>CHOOSE( CONTROL!$C$32, 30.3164, 30.3112) * CHOOSE( CONTROL!$C$15, $D$11, 100%, $F$11)</f>
        <v>30.316400000000002</v>
      </c>
      <c r="F852" s="4">
        <f>CHOOSE( CONTROL!$C$32, 31.3361, 31.3308) * CHOOSE(CONTROL!$C$15, $D$11, 100%, $F$11)</f>
        <v>31.336099999999998</v>
      </c>
      <c r="G852" s="8">
        <f>CHOOSE( CONTROL!$C$32, 29.5289, 29.5238) * CHOOSE( CONTROL!$C$15, $D$11, 100%, $F$11)</f>
        <v>29.5289</v>
      </c>
      <c r="H852" s="4">
        <f>CHOOSE( CONTROL!$C$32, 30.4692, 30.4641) * CHOOSE(CONTROL!$C$15, $D$11, 100%, $F$11)</f>
        <v>30.469200000000001</v>
      </c>
      <c r="I852" s="8">
        <f>CHOOSE( CONTROL!$C$32, 29.1076, 29.1026) * CHOOSE(CONTROL!$C$15, $D$11, 100%, $F$11)</f>
        <v>29.107600000000001</v>
      </c>
      <c r="J852" s="4">
        <f>CHOOSE( CONTROL!$C$32, 29.0293, 29.0243) * CHOOSE(CONTROL!$C$15, $D$11, 100%, $F$11)</f>
        <v>29.029299999999999</v>
      </c>
      <c r="K852" s="4"/>
      <c r="L852" s="9">
        <v>29.520499999999998</v>
      </c>
      <c r="M852" s="9">
        <v>12.063700000000001</v>
      </c>
      <c r="N852" s="9">
        <v>4.9444999999999997</v>
      </c>
      <c r="O852" s="9">
        <v>0.37459999999999999</v>
      </c>
      <c r="P852" s="9">
        <v>1.2192000000000001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CONTROL!$C$32, 29.6661, 29.6609) * CHOOSE(CONTROL!$C$15, $D$11, 100%, $F$11)</f>
        <v>29.6661</v>
      </c>
      <c r="C853" s="8">
        <f>CHOOSE( CONTROL!$C$32, 29.6766, 29.6713) * CHOOSE(CONTROL!$C$15, $D$11, 100%, $F$11)</f>
        <v>29.676600000000001</v>
      </c>
      <c r="D853" s="8">
        <f>CHOOSE( CONTROL!$C$32, 29.6877, 29.6824) * CHOOSE( CONTROL!$C$15, $D$11, 100%, $F$11)</f>
        <v>29.6877</v>
      </c>
      <c r="E853" s="12">
        <f>CHOOSE( CONTROL!$C$32, 29.6821, 29.6768) * CHOOSE( CONTROL!$C$15, $D$11, 100%, $F$11)</f>
        <v>29.682099999999998</v>
      </c>
      <c r="F853" s="4">
        <f>CHOOSE( CONTROL!$C$32, 30.7016, 30.6963) * CHOOSE(CONTROL!$C$15, $D$11, 100%, $F$11)</f>
        <v>30.701599999999999</v>
      </c>
      <c r="G853" s="8">
        <f>CHOOSE( CONTROL!$C$32, 28.9106, 28.9055) * CHOOSE( CONTROL!$C$15, $D$11, 100%, $F$11)</f>
        <v>28.910599999999999</v>
      </c>
      <c r="H853" s="4">
        <f>CHOOSE( CONTROL!$C$32, 29.8508, 29.8456) * CHOOSE(CONTROL!$C$15, $D$11, 100%, $F$11)</f>
        <v>29.8508</v>
      </c>
      <c r="I853" s="8">
        <f>CHOOSE( CONTROL!$C$32, 28.5, 28.495) * CHOOSE(CONTROL!$C$15, $D$11, 100%, $F$11)</f>
        <v>28.5</v>
      </c>
      <c r="J853" s="4">
        <f>CHOOSE( CONTROL!$C$32, 28.4213, 28.4163) * CHOOSE(CONTROL!$C$15, $D$11, 100%, $F$11)</f>
        <v>28.421299999999999</v>
      </c>
      <c r="K853" s="4"/>
      <c r="L853" s="9">
        <v>28.568200000000001</v>
      </c>
      <c r="M853" s="9">
        <v>11.6745</v>
      </c>
      <c r="N853" s="9">
        <v>4.7850000000000001</v>
      </c>
      <c r="O853" s="9">
        <v>0.36249999999999999</v>
      </c>
      <c r="P853" s="9">
        <v>1.1798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30.9783 * CHOOSE(CONTROL!$C$15, $D$11, 100%, $F$11)</f>
        <v>30.978300000000001</v>
      </c>
      <c r="C854" s="8">
        <f>30.9887 * CHOOSE(CONTROL!$C$15, $D$11, 100%, $F$11)</f>
        <v>30.988700000000001</v>
      </c>
      <c r="D854" s="8">
        <f>31.0011 * CHOOSE( CONTROL!$C$15, $D$11, 100%, $F$11)</f>
        <v>31.001100000000001</v>
      </c>
      <c r="E854" s="12">
        <f>30.9959 * CHOOSE( CONTROL!$C$15, $D$11, 100%, $F$11)</f>
        <v>30.995899999999999</v>
      </c>
      <c r="F854" s="4">
        <f>32.0137 * CHOOSE(CONTROL!$C$15, $D$11, 100%, $F$11)</f>
        <v>32.0137</v>
      </c>
      <c r="G854" s="8">
        <f>30.189 * CHOOSE( CONTROL!$C$15, $D$11, 100%, $F$11)</f>
        <v>30.189</v>
      </c>
      <c r="H854" s="4">
        <f>31.1298 * CHOOSE(CONTROL!$C$15, $D$11, 100%, $F$11)</f>
        <v>31.129799999999999</v>
      </c>
      <c r="I854" s="8">
        <f>29.7594 * CHOOSE(CONTROL!$C$15, $D$11, 100%, $F$11)</f>
        <v>29.759399999999999</v>
      </c>
      <c r="J854" s="4">
        <f>29.6787 * CHOOSE(CONTROL!$C$15, $D$11, 100%, $F$11)</f>
        <v>29.678699999999999</v>
      </c>
      <c r="K854" s="4"/>
      <c r="L854" s="9">
        <v>28.921800000000001</v>
      </c>
      <c r="M854" s="9">
        <v>12.063700000000001</v>
      </c>
      <c r="N854" s="9">
        <v>4.9444999999999997</v>
      </c>
      <c r="O854" s="9">
        <v>0.37459999999999999</v>
      </c>
      <c r="P854" s="9">
        <v>1.2192000000000001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33.41 * CHOOSE(CONTROL!$C$15, $D$11, 100%, $F$11)</f>
        <v>33.409999999999997</v>
      </c>
      <c r="C855" s="8">
        <f>33.4204 * CHOOSE(CONTROL!$C$15, $D$11, 100%, $F$11)</f>
        <v>33.420400000000001</v>
      </c>
      <c r="D855" s="8">
        <f>33.4042 * CHOOSE( CONTROL!$C$15, $D$11, 100%, $F$11)</f>
        <v>33.404200000000003</v>
      </c>
      <c r="E855" s="12">
        <f>33.409 * CHOOSE( CONTROL!$C$15, $D$11, 100%, $F$11)</f>
        <v>33.408999999999999</v>
      </c>
      <c r="F855" s="4">
        <f>34.4042 * CHOOSE(CONTROL!$C$15, $D$11, 100%, $F$11)</f>
        <v>34.404200000000003</v>
      </c>
      <c r="G855" s="8">
        <f>32.5804 * CHOOSE( CONTROL!$C$15, $D$11, 100%, $F$11)</f>
        <v>32.580399999999997</v>
      </c>
      <c r="H855" s="4">
        <f>33.46 * CHOOSE(CONTROL!$C$15, $D$11, 100%, $F$11)</f>
        <v>33.46</v>
      </c>
      <c r="I855" s="8">
        <f>32.1274 * CHOOSE(CONTROL!$C$15, $D$11, 100%, $F$11)</f>
        <v>32.127400000000002</v>
      </c>
      <c r="J855" s="4">
        <f>32.0087 * CHOOSE(CONTROL!$C$15, $D$11, 100%, $F$11)</f>
        <v>32.008699999999997</v>
      </c>
      <c r="K855" s="4"/>
      <c r="L855" s="9">
        <v>26.515499999999999</v>
      </c>
      <c r="M855" s="9">
        <v>11.6745</v>
      </c>
      <c r="N855" s="9">
        <v>4.7850000000000001</v>
      </c>
      <c r="O855" s="9">
        <v>0.36249999999999999</v>
      </c>
      <c r="P855" s="9">
        <v>1.2522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33.3492 * CHOOSE(CONTROL!$C$15, $D$11, 100%, $F$11)</f>
        <v>33.349200000000003</v>
      </c>
      <c r="C856" s="8">
        <f>33.3597 * CHOOSE(CONTROL!$C$15, $D$11, 100%, $F$11)</f>
        <v>33.359699999999997</v>
      </c>
      <c r="D856" s="8">
        <f>33.3457 * CHOOSE( CONTROL!$C$15, $D$11, 100%, $F$11)</f>
        <v>33.345700000000001</v>
      </c>
      <c r="E856" s="12">
        <f>33.3497 * CHOOSE( CONTROL!$C$15, $D$11, 100%, $F$11)</f>
        <v>33.349699999999999</v>
      </c>
      <c r="F856" s="4">
        <f>34.3434 * CHOOSE(CONTROL!$C$15, $D$11, 100%, $F$11)</f>
        <v>34.343400000000003</v>
      </c>
      <c r="G856" s="8">
        <f>32.5229 * CHOOSE( CONTROL!$C$15, $D$11, 100%, $F$11)</f>
        <v>32.5229</v>
      </c>
      <c r="H856" s="4">
        <f>33.4008 * CHOOSE(CONTROL!$C$15, $D$11, 100%, $F$11)</f>
        <v>33.400799999999997</v>
      </c>
      <c r="I856" s="8">
        <f>32.0768 * CHOOSE(CONTROL!$C$15, $D$11, 100%, $F$11)</f>
        <v>32.076799999999999</v>
      </c>
      <c r="J856" s="4">
        <f>31.9505 * CHOOSE(CONTROL!$C$15, $D$11, 100%, $F$11)</f>
        <v>31.950500000000002</v>
      </c>
      <c r="K856" s="4"/>
      <c r="L856" s="9">
        <v>27.3993</v>
      </c>
      <c r="M856" s="9">
        <v>12.063700000000001</v>
      </c>
      <c r="N856" s="9">
        <v>4.9444999999999997</v>
      </c>
      <c r="O856" s="9">
        <v>0.37459999999999999</v>
      </c>
      <c r="P856" s="9">
        <v>1.2939000000000001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34.6236 * CHOOSE(CONTROL!$C$15, $D$11, 100%, $F$11)</f>
        <v>34.623600000000003</v>
      </c>
      <c r="C857" s="8">
        <f>34.6341 * CHOOSE(CONTROL!$C$15, $D$11, 100%, $F$11)</f>
        <v>34.634099999999997</v>
      </c>
      <c r="D857" s="8">
        <f>34.6334 * CHOOSE( CONTROL!$C$15, $D$11, 100%, $F$11)</f>
        <v>34.633400000000002</v>
      </c>
      <c r="E857" s="12">
        <f>34.6325 * CHOOSE( CONTROL!$C$15, $D$11, 100%, $F$11)</f>
        <v>34.6325</v>
      </c>
      <c r="F857" s="4">
        <f>35.6465 * CHOOSE(CONTROL!$C$15, $D$11, 100%, $F$11)</f>
        <v>35.646500000000003</v>
      </c>
      <c r="G857" s="8">
        <f>33.7787 * CHOOSE( CONTROL!$C$15, $D$11, 100%, $F$11)</f>
        <v>33.778700000000001</v>
      </c>
      <c r="H857" s="4">
        <f>34.671 * CHOOSE(CONTROL!$C$15, $D$11, 100%, $F$11)</f>
        <v>34.670999999999999</v>
      </c>
      <c r="I857" s="8">
        <f>33.2968 * CHOOSE(CONTROL!$C$15, $D$11, 100%, $F$11)</f>
        <v>33.296799999999998</v>
      </c>
      <c r="J857" s="4">
        <f>33.1716 * CHOOSE(CONTROL!$C$15, $D$11, 100%, $F$11)</f>
        <v>33.171599999999998</v>
      </c>
      <c r="K857" s="4"/>
      <c r="L857" s="9">
        <v>27.3993</v>
      </c>
      <c r="M857" s="9">
        <v>12.063700000000001</v>
      </c>
      <c r="N857" s="9">
        <v>4.9444999999999997</v>
      </c>
      <c r="O857" s="9">
        <v>0.37459999999999999</v>
      </c>
      <c r="P857" s="9">
        <v>1.2939000000000001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32.3856 * CHOOSE(CONTROL!$C$15, $D$11, 100%, $F$11)</f>
        <v>32.385599999999997</v>
      </c>
      <c r="C858" s="8">
        <f>32.396 * CHOOSE(CONTROL!$C$15, $D$11, 100%, $F$11)</f>
        <v>32.396000000000001</v>
      </c>
      <c r="D858" s="8">
        <f>32.3975 * CHOOSE( CONTROL!$C$15, $D$11, 100%, $F$11)</f>
        <v>32.397500000000001</v>
      </c>
      <c r="E858" s="12">
        <f>32.3958 * CHOOSE( CONTROL!$C$15, $D$11, 100%, $F$11)</f>
        <v>32.395800000000001</v>
      </c>
      <c r="F858" s="4">
        <f>33.4007 * CHOOSE(CONTROL!$C$15, $D$11, 100%, $F$11)</f>
        <v>33.400700000000001</v>
      </c>
      <c r="G858" s="8">
        <f>31.5969 * CHOOSE( CONTROL!$C$15, $D$11, 100%, $F$11)</f>
        <v>31.596900000000002</v>
      </c>
      <c r="H858" s="4">
        <f>32.4818 * CHOOSE(CONTROL!$C$15, $D$11, 100%, $F$11)</f>
        <v>32.4818</v>
      </c>
      <c r="I858" s="8">
        <f>31.1403 * CHOOSE(CONTROL!$C$15, $D$11, 100%, $F$11)</f>
        <v>31.1403</v>
      </c>
      <c r="J858" s="4">
        <f>31.0271 * CHOOSE(CONTROL!$C$15, $D$11, 100%, $F$11)</f>
        <v>31.027100000000001</v>
      </c>
      <c r="K858" s="4"/>
      <c r="L858" s="9">
        <v>24.747800000000002</v>
      </c>
      <c r="M858" s="9">
        <v>10.8962</v>
      </c>
      <c r="N858" s="9">
        <v>4.4660000000000002</v>
      </c>
      <c r="O858" s="9">
        <v>0.33829999999999999</v>
      </c>
      <c r="P858" s="9">
        <v>1.1687000000000001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31.6963 * CHOOSE(CONTROL!$C$15, $D$11, 100%, $F$11)</f>
        <v>31.696300000000001</v>
      </c>
      <c r="C859" s="8">
        <f>31.7067 * CHOOSE(CONTROL!$C$15, $D$11, 100%, $F$11)</f>
        <v>31.706700000000001</v>
      </c>
      <c r="D859" s="8">
        <f>31.6878 * CHOOSE( CONTROL!$C$15, $D$11, 100%, $F$11)</f>
        <v>31.687799999999999</v>
      </c>
      <c r="E859" s="12">
        <f>31.6936 * CHOOSE( CONTROL!$C$15, $D$11, 100%, $F$11)</f>
        <v>31.6936</v>
      </c>
      <c r="F859" s="4">
        <f>32.6952 * CHOOSE(CONTROL!$C$15, $D$11, 100%, $F$11)</f>
        <v>32.6952</v>
      </c>
      <c r="G859" s="8">
        <f>30.9042 * CHOOSE( CONTROL!$C$15, $D$11, 100%, $F$11)</f>
        <v>30.904199999999999</v>
      </c>
      <c r="H859" s="4">
        <f>31.7941 * CHOOSE(CONTROL!$C$15, $D$11, 100%, $F$11)</f>
        <v>31.7941</v>
      </c>
      <c r="I859" s="8">
        <f>30.44 * CHOOSE(CONTROL!$C$15, $D$11, 100%, $F$11)</f>
        <v>30.44</v>
      </c>
      <c r="J859" s="4">
        <f>30.3666 * CHOOSE(CONTROL!$C$15, $D$11, 100%, $F$11)</f>
        <v>30.366599999999998</v>
      </c>
      <c r="K859" s="4"/>
      <c r="L859" s="9">
        <v>27.3993</v>
      </c>
      <c r="M859" s="9">
        <v>12.063700000000001</v>
      </c>
      <c r="N859" s="9">
        <v>4.9444999999999997</v>
      </c>
      <c r="O859" s="9">
        <v>0.37459999999999999</v>
      </c>
      <c r="P859" s="9">
        <v>1.2939000000000001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32.178 * CHOOSE(CONTROL!$C$15, $D$11, 100%, $F$11)</f>
        <v>32.177999999999997</v>
      </c>
      <c r="C860" s="8">
        <f>32.1884 * CHOOSE(CONTROL!$C$15, $D$11, 100%, $F$11)</f>
        <v>32.188400000000001</v>
      </c>
      <c r="D860" s="8">
        <f>32.1924 * CHOOSE( CONTROL!$C$15, $D$11, 100%, $F$11)</f>
        <v>32.192399999999999</v>
      </c>
      <c r="E860" s="12">
        <f>32.1899 * CHOOSE( CONTROL!$C$15, $D$11, 100%, $F$11)</f>
        <v>32.189900000000002</v>
      </c>
      <c r="F860" s="4">
        <f>33.1852 * CHOOSE(CONTROL!$C$15, $D$11, 100%, $F$11)</f>
        <v>33.185200000000002</v>
      </c>
      <c r="G860" s="8">
        <f>31.3621 * CHOOSE( CONTROL!$C$15, $D$11, 100%, $F$11)</f>
        <v>31.362100000000002</v>
      </c>
      <c r="H860" s="4">
        <f>32.2717 * CHOOSE(CONTROL!$C$15, $D$11, 100%, $F$11)</f>
        <v>32.271700000000003</v>
      </c>
      <c r="I860" s="8">
        <f>30.8918 * CHOOSE(CONTROL!$C$15, $D$11, 100%, $F$11)</f>
        <v>30.8918</v>
      </c>
      <c r="J860" s="4">
        <f>30.8282 * CHOOSE(CONTROL!$C$15, $D$11, 100%, $F$11)</f>
        <v>30.828199999999999</v>
      </c>
      <c r="K860" s="4"/>
      <c r="L860" s="9">
        <v>27.988800000000001</v>
      </c>
      <c r="M860" s="9">
        <v>11.6745</v>
      </c>
      <c r="N860" s="9">
        <v>4.7850000000000001</v>
      </c>
      <c r="O860" s="9">
        <v>0.36249999999999999</v>
      </c>
      <c r="P860" s="9">
        <v>1.1798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CONTROL!$C$32, 33.0405, 33.0352) * CHOOSE(CONTROL!$C$15, $D$11, 100%, $F$11)</f>
        <v>33.040500000000002</v>
      </c>
      <c r="C861" s="8">
        <f>CHOOSE( CONTROL!$C$32, 33.0509, 33.0457) * CHOOSE(CONTROL!$C$15, $D$11, 100%, $F$11)</f>
        <v>33.050899999999999</v>
      </c>
      <c r="D861" s="8">
        <f>CHOOSE( CONTROL!$C$32, 33.0638, 33.0585) * CHOOSE( CONTROL!$C$15, $D$11, 100%, $F$11)</f>
        <v>33.063800000000001</v>
      </c>
      <c r="E861" s="12">
        <f>CHOOSE( CONTROL!$C$32, 33.0575, 33.0523) * CHOOSE( CONTROL!$C$15, $D$11, 100%, $F$11)</f>
        <v>33.057499999999997</v>
      </c>
      <c r="F861" s="4">
        <f>CHOOSE( CONTROL!$C$32, 34.0634, 34.0581) * CHOOSE(CONTROL!$C$15, $D$11, 100%, $F$11)</f>
        <v>34.063400000000001</v>
      </c>
      <c r="G861" s="8">
        <f>CHOOSE( CONTROL!$C$32, 32.2085, 32.2034) * CHOOSE( CONTROL!$C$15, $D$11, 100%, $F$11)</f>
        <v>32.208500000000001</v>
      </c>
      <c r="H861" s="4">
        <f>CHOOSE( CONTROL!$C$32, 33.1278, 33.1226) * CHOOSE(CONTROL!$C$15, $D$11, 100%, $F$11)</f>
        <v>33.127800000000001</v>
      </c>
      <c r="I861" s="8">
        <f>CHOOSE( CONTROL!$C$32, 31.724, 31.719) * CHOOSE(CONTROL!$C$15, $D$11, 100%, $F$11)</f>
        <v>31.724</v>
      </c>
      <c r="J861" s="4">
        <f>CHOOSE( CONTROL!$C$32, 31.6546, 31.6496) * CHOOSE(CONTROL!$C$15, $D$11, 100%, $F$11)</f>
        <v>31.654599999999999</v>
      </c>
      <c r="K861" s="4"/>
      <c r="L861" s="9">
        <v>29.520499999999998</v>
      </c>
      <c r="M861" s="9">
        <v>12.063700000000001</v>
      </c>
      <c r="N861" s="9">
        <v>4.9444999999999997</v>
      </c>
      <c r="O861" s="9">
        <v>0.37459999999999999</v>
      </c>
      <c r="P861" s="9">
        <v>1.2192000000000001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CONTROL!$C$32, 32.5094, 32.5042) * CHOOSE(CONTROL!$C$15, $D$11, 100%, $F$11)</f>
        <v>32.509399999999999</v>
      </c>
      <c r="C862" s="8">
        <f>CHOOSE( CONTROL!$C$32, 32.5199, 32.5146) * CHOOSE(CONTROL!$C$15, $D$11, 100%, $F$11)</f>
        <v>32.5199</v>
      </c>
      <c r="D862" s="8">
        <f>CHOOSE( CONTROL!$C$32, 32.5403, 32.5351) * CHOOSE( CONTROL!$C$15, $D$11, 100%, $F$11)</f>
        <v>32.540300000000002</v>
      </c>
      <c r="E862" s="12">
        <f>CHOOSE( CONTROL!$C$32, 32.5313, 32.5261) * CHOOSE( CONTROL!$C$15, $D$11, 100%, $F$11)</f>
        <v>32.531300000000002</v>
      </c>
      <c r="F862" s="4">
        <f>CHOOSE( CONTROL!$C$32, 33.5449, 33.5396) * CHOOSE(CONTROL!$C$15, $D$11, 100%, $F$11)</f>
        <v>33.544899999999998</v>
      </c>
      <c r="G862" s="8">
        <f>CHOOSE( CONTROL!$C$32, 31.6947, 31.6896) * CHOOSE( CONTROL!$C$15, $D$11, 100%, $F$11)</f>
        <v>31.694700000000001</v>
      </c>
      <c r="H862" s="4">
        <f>CHOOSE( CONTROL!$C$32, 32.6223, 32.6172) * CHOOSE(CONTROL!$C$15, $D$11, 100%, $F$11)</f>
        <v>32.622300000000003</v>
      </c>
      <c r="I862" s="8">
        <f>CHOOSE( CONTROL!$C$32, 31.2201, 31.2151) * CHOOSE(CONTROL!$C$15, $D$11, 100%, $F$11)</f>
        <v>31.220099999999999</v>
      </c>
      <c r="J862" s="4">
        <f>CHOOSE( CONTROL!$C$32, 31.1458, 31.1408) * CHOOSE(CONTROL!$C$15, $D$11, 100%, $F$11)</f>
        <v>31.145800000000001</v>
      </c>
      <c r="K862" s="4"/>
      <c r="L862" s="9">
        <v>28.568200000000001</v>
      </c>
      <c r="M862" s="9">
        <v>11.6745</v>
      </c>
      <c r="N862" s="9">
        <v>4.7850000000000001</v>
      </c>
      <c r="O862" s="9">
        <v>0.36249999999999999</v>
      </c>
      <c r="P862" s="9">
        <v>1.1798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CONTROL!$C$32, 33.9079, 33.9026) * CHOOSE(CONTROL!$C$15, $D$11, 100%, $F$11)</f>
        <v>33.907899999999998</v>
      </c>
      <c r="C863" s="8">
        <f>CHOOSE( CONTROL!$C$32, 33.9183, 33.9131) * CHOOSE(CONTROL!$C$15, $D$11, 100%, $F$11)</f>
        <v>33.918300000000002</v>
      </c>
      <c r="D863" s="8">
        <f>CHOOSE( CONTROL!$C$32, 33.9289, 33.9237) * CHOOSE( CONTROL!$C$15, $D$11, 100%, $F$11)</f>
        <v>33.928899999999999</v>
      </c>
      <c r="E863" s="12">
        <f>CHOOSE( CONTROL!$C$32, 33.9235, 33.9183) * CHOOSE( CONTROL!$C$15, $D$11, 100%, $F$11)</f>
        <v>33.923499999999997</v>
      </c>
      <c r="F863" s="4">
        <f>CHOOSE( CONTROL!$C$32, 34.9433, 34.9381) * CHOOSE(CONTROL!$C$15, $D$11, 100%, $F$11)</f>
        <v>34.943300000000001</v>
      </c>
      <c r="G863" s="8">
        <f>CHOOSE( CONTROL!$C$32, 33.0446, 33.0395) * CHOOSE( CONTROL!$C$15, $D$11, 100%, $F$11)</f>
        <v>33.044600000000003</v>
      </c>
      <c r="H863" s="4">
        <f>CHOOSE( CONTROL!$C$32, 33.9855, 33.9804) * CHOOSE(CONTROL!$C$15, $D$11, 100%, $F$11)</f>
        <v>33.985500000000002</v>
      </c>
      <c r="I863" s="8">
        <f>CHOOSE( CONTROL!$C$32, 32.5642, 32.5591) * CHOOSE(CONTROL!$C$15, $D$11, 100%, $F$11)</f>
        <v>32.5642</v>
      </c>
      <c r="J863" s="4">
        <f>CHOOSE( CONTROL!$C$32, 32.4858, 32.4807) * CHOOSE(CONTROL!$C$15, $D$11, 100%, $F$11)</f>
        <v>32.485799999999998</v>
      </c>
      <c r="K863" s="4"/>
      <c r="L863" s="9">
        <v>29.520499999999998</v>
      </c>
      <c r="M863" s="9">
        <v>12.063700000000001</v>
      </c>
      <c r="N863" s="9">
        <v>4.9444999999999997</v>
      </c>
      <c r="O863" s="9">
        <v>0.37459999999999999</v>
      </c>
      <c r="P863" s="9">
        <v>1.2192000000000001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CONTROL!$C$32, 31.2912, 31.286) * CHOOSE(CONTROL!$C$15, $D$11, 100%, $F$11)</f>
        <v>31.2912</v>
      </c>
      <c r="C864" s="8">
        <f>CHOOSE( CONTROL!$C$32, 31.3017, 31.2964) * CHOOSE(CONTROL!$C$15, $D$11, 100%, $F$11)</f>
        <v>31.3017</v>
      </c>
      <c r="D864" s="8">
        <f>CHOOSE( CONTROL!$C$32, 31.3126, 31.3074) * CHOOSE( CONTROL!$C$15, $D$11, 100%, $F$11)</f>
        <v>31.3126</v>
      </c>
      <c r="E864" s="12">
        <f>CHOOSE( CONTROL!$C$32, 31.307, 31.3018) * CHOOSE( CONTROL!$C$15, $D$11, 100%, $F$11)</f>
        <v>31.306999999999999</v>
      </c>
      <c r="F864" s="4">
        <f>CHOOSE( CONTROL!$C$32, 32.3267, 32.3214) * CHOOSE(CONTROL!$C$15, $D$11, 100%, $F$11)</f>
        <v>32.326700000000002</v>
      </c>
      <c r="G864" s="8">
        <f>CHOOSE( CONTROL!$C$32, 30.4945, 30.4894) * CHOOSE( CONTROL!$C$15, $D$11, 100%, $F$11)</f>
        <v>30.494499999999999</v>
      </c>
      <c r="H864" s="4">
        <f>CHOOSE( CONTROL!$C$32, 31.4349, 31.4297) * CHOOSE(CONTROL!$C$15, $D$11, 100%, $F$11)</f>
        <v>31.434899999999999</v>
      </c>
      <c r="I864" s="8">
        <f>CHOOSE( CONTROL!$C$32, 30.0573, 30.0522) * CHOOSE(CONTROL!$C$15, $D$11, 100%, $F$11)</f>
        <v>30.057300000000001</v>
      </c>
      <c r="J864" s="4">
        <f>CHOOSE( CONTROL!$C$32, 29.9785, 29.9735) * CHOOSE(CONTROL!$C$15, $D$11, 100%, $F$11)</f>
        <v>29.9785</v>
      </c>
      <c r="K864" s="4"/>
      <c r="L864" s="9">
        <v>29.520499999999998</v>
      </c>
      <c r="M864" s="9">
        <v>12.063700000000001</v>
      </c>
      <c r="N864" s="9">
        <v>4.9444999999999997</v>
      </c>
      <c r="O864" s="9">
        <v>0.37459999999999999</v>
      </c>
      <c r="P864" s="9">
        <v>1.2192000000000001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CONTROL!$C$32, 30.636, 30.6307) * CHOOSE(CONTROL!$C$15, $D$11, 100%, $F$11)</f>
        <v>30.635999999999999</v>
      </c>
      <c r="C865" s="8">
        <f>CHOOSE( CONTROL!$C$32, 30.6464, 30.6412) * CHOOSE(CONTROL!$C$15, $D$11, 100%, $F$11)</f>
        <v>30.6464</v>
      </c>
      <c r="D865" s="8">
        <f>CHOOSE( CONTROL!$C$32, 30.6575, 30.6523) * CHOOSE( CONTROL!$C$15, $D$11, 100%, $F$11)</f>
        <v>30.657499999999999</v>
      </c>
      <c r="E865" s="12">
        <f>CHOOSE( CONTROL!$C$32, 30.6519, 30.6467) * CHOOSE( CONTROL!$C$15, $D$11, 100%, $F$11)</f>
        <v>30.651900000000001</v>
      </c>
      <c r="F865" s="4">
        <f>CHOOSE( CONTROL!$C$32, 31.6714, 31.6662) * CHOOSE(CONTROL!$C$15, $D$11, 100%, $F$11)</f>
        <v>31.671399999999998</v>
      </c>
      <c r="G865" s="8">
        <f>CHOOSE( CONTROL!$C$32, 29.856, 29.8509) * CHOOSE( CONTROL!$C$15, $D$11, 100%, $F$11)</f>
        <v>29.856000000000002</v>
      </c>
      <c r="H865" s="4">
        <f>CHOOSE( CONTROL!$C$32, 30.7962, 30.791) * CHOOSE(CONTROL!$C$15, $D$11, 100%, $F$11)</f>
        <v>30.796199999999999</v>
      </c>
      <c r="I865" s="8">
        <f>CHOOSE( CONTROL!$C$32, 29.4298, 29.4248) * CHOOSE(CONTROL!$C$15, $D$11, 100%, $F$11)</f>
        <v>29.4298</v>
      </c>
      <c r="J865" s="4">
        <f>CHOOSE( CONTROL!$C$32, 29.3507, 29.3456) * CHOOSE(CONTROL!$C$15, $D$11, 100%, $F$11)</f>
        <v>29.3507</v>
      </c>
      <c r="K865" s="4"/>
      <c r="L865" s="9">
        <v>28.568200000000001</v>
      </c>
      <c r="M865" s="9">
        <v>11.6745</v>
      </c>
      <c r="N865" s="9">
        <v>4.7850000000000001</v>
      </c>
      <c r="O865" s="9">
        <v>0.36249999999999999</v>
      </c>
      <c r="P865" s="9">
        <v>1.1798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31.9912 * CHOOSE(CONTROL!$C$15, $D$11, 100%, $F$11)</f>
        <v>31.991199999999999</v>
      </c>
      <c r="C866" s="8">
        <f>32.0017 * CHOOSE(CONTROL!$C$15, $D$11, 100%, $F$11)</f>
        <v>32.0017</v>
      </c>
      <c r="D866" s="8">
        <f>32.0141 * CHOOSE( CONTROL!$C$15, $D$11, 100%, $F$11)</f>
        <v>32.014099999999999</v>
      </c>
      <c r="E866" s="12">
        <f>32.0089 * CHOOSE( CONTROL!$C$15, $D$11, 100%, $F$11)</f>
        <v>32.008899999999997</v>
      </c>
      <c r="F866" s="4">
        <f>33.0267 * CHOOSE(CONTROL!$C$15, $D$11, 100%, $F$11)</f>
        <v>33.026699999999998</v>
      </c>
      <c r="G866" s="8">
        <f>31.1764 * CHOOSE( CONTROL!$C$15, $D$11, 100%, $F$11)</f>
        <v>31.176400000000001</v>
      </c>
      <c r="H866" s="4">
        <f>32.1172 * CHOOSE(CONTROL!$C$15, $D$11, 100%, $F$11)</f>
        <v>32.117199999999997</v>
      </c>
      <c r="I866" s="8">
        <f>30.7305 * CHOOSE(CONTROL!$C$15, $D$11, 100%, $F$11)</f>
        <v>30.730499999999999</v>
      </c>
      <c r="J866" s="4">
        <f>30.6493 * CHOOSE(CONTROL!$C$15, $D$11, 100%, $F$11)</f>
        <v>30.6493</v>
      </c>
      <c r="K866" s="4"/>
      <c r="L866" s="9">
        <v>28.921800000000001</v>
      </c>
      <c r="M866" s="9">
        <v>12.063700000000001</v>
      </c>
      <c r="N866" s="9">
        <v>4.9444999999999997</v>
      </c>
      <c r="O866" s="9">
        <v>0.37459999999999999</v>
      </c>
      <c r="P866" s="9">
        <v>1.2192000000000001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34.5025 * CHOOSE(CONTROL!$C$15, $D$11, 100%, $F$11)</f>
        <v>34.502499999999998</v>
      </c>
      <c r="C867" s="8">
        <f>34.5129 * CHOOSE(CONTROL!$C$15, $D$11, 100%, $F$11)</f>
        <v>34.512900000000002</v>
      </c>
      <c r="D867" s="8">
        <f>34.4967 * CHOOSE( CONTROL!$C$15, $D$11, 100%, $F$11)</f>
        <v>34.496699999999997</v>
      </c>
      <c r="E867" s="12">
        <f>34.5015 * CHOOSE( CONTROL!$C$15, $D$11, 100%, $F$11)</f>
        <v>34.5015</v>
      </c>
      <c r="F867" s="4">
        <f>35.4967 * CHOOSE(CONTROL!$C$15, $D$11, 100%, $F$11)</f>
        <v>35.496699999999997</v>
      </c>
      <c r="G867" s="8">
        <f>33.6453 * CHOOSE( CONTROL!$C$15, $D$11, 100%, $F$11)</f>
        <v>33.645299999999999</v>
      </c>
      <c r="H867" s="4">
        <f>34.5249 * CHOOSE(CONTROL!$C$15, $D$11, 100%, $F$11)</f>
        <v>34.524900000000002</v>
      </c>
      <c r="I867" s="8">
        <f>33.1748 * CHOOSE(CONTROL!$C$15, $D$11, 100%, $F$11)</f>
        <v>33.174799999999998</v>
      </c>
      <c r="J867" s="4">
        <f>33.0555 * CHOOSE(CONTROL!$C$15, $D$11, 100%, $F$11)</f>
        <v>33.055500000000002</v>
      </c>
      <c r="K867" s="4"/>
      <c r="L867" s="9">
        <v>26.515499999999999</v>
      </c>
      <c r="M867" s="9">
        <v>11.6745</v>
      </c>
      <c r="N867" s="9">
        <v>4.7850000000000001</v>
      </c>
      <c r="O867" s="9">
        <v>0.36249999999999999</v>
      </c>
      <c r="P867" s="9">
        <v>1.2522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34.4397 * CHOOSE(CONTROL!$C$15, $D$11, 100%, $F$11)</f>
        <v>34.439700000000002</v>
      </c>
      <c r="C868" s="8">
        <f>34.4502 * CHOOSE(CONTROL!$C$15, $D$11, 100%, $F$11)</f>
        <v>34.450200000000002</v>
      </c>
      <c r="D868" s="8">
        <f>34.4362 * CHOOSE( CONTROL!$C$15, $D$11, 100%, $F$11)</f>
        <v>34.436199999999999</v>
      </c>
      <c r="E868" s="12">
        <f>34.4402 * CHOOSE( CONTROL!$C$15, $D$11, 100%, $F$11)</f>
        <v>34.440199999999997</v>
      </c>
      <c r="F868" s="4">
        <f>35.4339 * CHOOSE(CONTROL!$C$15, $D$11, 100%, $F$11)</f>
        <v>35.433900000000001</v>
      </c>
      <c r="G868" s="8">
        <f>33.5858 * CHOOSE( CONTROL!$C$15, $D$11, 100%, $F$11)</f>
        <v>33.585799999999999</v>
      </c>
      <c r="H868" s="4">
        <f>34.4637 * CHOOSE(CONTROL!$C$15, $D$11, 100%, $F$11)</f>
        <v>34.463700000000003</v>
      </c>
      <c r="I868" s="8">
        <f>33.1222 * CHOOSE(CONTROL!$C$15, $D$11, 100%, $F$11)</f>
        <v>33.122199999999999</v>
      </c>
      <c r="J868" s="4">
        <f>32.9954 * CHOOSE(CONTROL!$C$15, $D$11, 100%, $F$11)</f>
        <v>32.995399999999997</v>
      </c>
      <c r="K868" s="4"/>
      <c r="L868" s="9">
        <v>27.3993</v>
      </c>
      <c r="M868" s="9">
        <v>12.063700000000001</v>
      </c>
      <c r="N868" s="9">
        <v>4.9444999999999997</v>
      </c>
      <c r="O868" s="9">
        <v>0.37459999999999999</v>
      </c>
      <c r="P868" s="9">
        <v>1.2939000000000001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35.7558 * CHOOSE(CONTROL!$C$15, $D$11, 100%, $F$11)</f>
        <v>35.755800000000001</v>
      </c>
      <c r="C869" s="8">
        <f>35.7662 * CHOOSE(CONTROL!$C$15, $D$11, 100%, $F$11)</f>
        <v>35.766199999999998</v>
      </c>
      <c r="D869" s="8">
        <f>35.7656 * CHOOSE( CONTROL!$C$15, $D$11, 100%, $F$11)</f>
        <v>35.765599999999999</v>
      </c>
      <c r="E869" s="12">
        <f>35.7647 * CHOOSE( CONTROL!$C$15, $D$11, 100%, $F$11)</f>
        <v>35.764699999999998</v>
      </c>
      <c r="F869" s="4">
        <f>36.7787 * CHOOSE(CONTROL!$C$15, $D$11, 100%, $F$11)</f>
        <v>36.778700000000001</v>
      </c>
      <c r="G869" s="8">
        <f>34.8823 * CHOOSE( CONTROL!$C$15, $D$11, 100%, $F$11)</f>
        <v>34.882300000000001</v>
      </c>
      <c r="H869" s="4">
        <f>35.7746 * CHOOSE(CONTROL!$C$15, $D$11, 100%, $F$11)</f>
        <v>35.7746</v>
      </c>
      <c r="I869" s="8">
        <f>34.3822 * CHOOSE(CONTROL!$C$15, $D$11, 100%, $F$11)</f>
        <v>34.382199999999997</v>
      </c>
      <c r="J869" s="4">
        <f>34.2564 * CHOOSE(CONTROL!$C$15, $D$11, 100%, $F$11)</f>
        <v>34.256399999999999</v>
      </c>
      <c r="K869" s="4"/>
      <c r="L869" s="9">
        <v>27.3993</v>
      </c>
      <c r="M869" s="9">
        <v>12.063700000000001</v>
      </c>
      <c r="N869" s="9">
        <v>4.9444999999999997</v>
      </c>
      <c r="O869" s="9">
        <v>0.37459999999999999</v>
      </c>
      <c r="P869" s="9">
        <v>1.2939000000000001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33.4446 * CHOOSE(CONTROL!$C$15, $D$11, 100%, $F$11)</f>
        <v>33.444600000000001</v>
      </c>
      <c r="C870" s="8">
        <f>33.455 * CHOOSE(CONTROL!$C$15, $D$11, 100%, $F$11)</f>
        <v>33.454999999999998</v>
      </c>
      <c r="D870" s="8">
        <f>33.4565 * CHOOSE( CONTROL!$C$15, $D$11, 100%, $F$11)</f>
        <v>33.456499999999998</v>
      </c>
      <c r="E870" s="12">
        <f>33.4548 * CHOOSE( CONTROL!$C$15, $D$11, 100%, $F$11)</f>
        <v>33.454799999999999</v>
      </c>
      <c r="F870" s="4">
        <f>34.4596 * CHOOSE(CONTROL!$C$15, $D$11, 100%, $F$11)</f>
        <v>34.459600000000002</v>
      </c>
      <c r="G870" s="8">
        <f>32.6291 * CHOOSE( CONTROL!$C$15, $D$11, 100%, $F$11)</f>
        <v>32.629100000000001</v>
      </c>
      <c r="H870" s="4">
        <f>33.514 * CHOOSE(CONTROL!$C$15, $D$11, 100%, $F$11)</f>
        <v>33.514000000000003</v>
      </c>
      <c r="I870" s="8">
        <f>32.1555 * CHOOSE(CONTROL!$C$15, $D$11, 100%, $F$11)</f>
        <v>32.155500000000004</v>
      </c>
      <c r="J870" s="4">
        <f>32.0418 * CHOOSE(CONTROL!$C$15, $D$11, 100%, $F$11)</f>
        <v>32.041800000000002</v>
      </c>
      <c r="K870" s="4"/>
      <c r="L870" s="9">
        <v>24.747800000000002</v>
      </c>
      <c r="M870" s="9">
        <v>10.8962</v>
      </c>
      <c r="N870" s="9">
        <v>4.4660000000000002</v>
      </c>
      <c r="O870" s="9">
        <v>0.33829999999999999</v>
      </c>
      <c r="P870" s="9">
        <v>1.1687000000000001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32.7327 * CHOOSE(CONTROL!$C$15, $D$11, 100%, $F$11)</f>
        <v>32.732700000000001</v>
      </c>
      <c r="C871" s="8">
        <f>32.7431 * CHOOSE(CONTROL!$C$15, $D$11, 100%, $F$11)</f>
        <v>32.743099999999998</v>
      </c>
      <c r="D871" s="8">
        <f>32.7242 * CHOOSE( CONTROL!$C$15, $D$11, 100%, $F$11)</f>
        <v>32.724200000000003</v>
      </c>
      <c r="E871" s="12">
        <f>32.73 * CHOOSE( CONTROL!$C$15, $D$11, 100%, $F$11)</f>
        <v>32.729999999999997</v>
      </c>
      <c r="F871" s="4">
        <f>33.7316 * CHOOSE(CONTROL!$C$15, $D$11, 100%, $F$11)</f>
        <v>33.7316</v>
      </c>
      <c r="G871" s="8">
        <f>31.9145 * CHOOSE( CONTROL!$C$15, $D$11, 100%, $F$11)</f>
        <v>31.9145</v>
      </c>
      <c r="H871" s="4">
        <f>32.8044 * CHOOSE(CONTROL!$C$15, $D$11, 100%, $F$11)</f>
        <v>32.804400000000001</v>
      </c>
      <c r="I871" s="8">
        <f>31.4336 * CHOOSE(CONTROL!$C$15, $D$11, 100%, $F$11)</f>
        <v>31.433599999999998</v>
      </c>
      <c r="J871" s="4">
        <f>31.3597 * CHOOSE(CONTROL!$C$15, $D$11, 100%, $F$11)</f>
        <v>31.3597</v>
      </c>
      <c r="K871" s="4"/>
      <c r="L871" s="9">
        <v>27.3993</v>
      </c>
      <c r="M871" s="9">
        <v>12.063700000000001</v>
      </c>
      <c r="N871" s="9">
        <v>4.9444999999999997</v>
      </c>
      <c r="O871" s="9">
        <v>0.37459999999999999</v>
      </c>
      <c r="P871" s="9">
        <v>1.2939000000000001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33.2301 * CHOOSE(CONTROL!$C$15, $D$11, 100%, $F$11)</f>
        <v>33.2301</v>
      </c>
      <c r="C872" s="8">
        <f>33.2406 * CHOOSE(CONTROL!$C$15, $D$11, 100%, $F$11)</f>
        <v>33.240600000000001</v>
      </c>
      <c r="D872" s="8">
        <f>33.2446 * CHOOSE( CONTROL!$C$15, $D$11, 100%, $F$11)</f>
        <v>33.244599999999998</v>
      </c>
      <c r="E872" s="12">
        <f>33.2421 * CHOOSE( CONTROL!$C$15, $D$11, 100%, $F$11)</f>
        <v>33.242100000000001</v>
      </c>
      <c r="F872" s="4">
        <f>34.2374 * CHOOSE(CONTROL!$C$15, $D$11, 100%, $F$11)</f>
        <v>34.237400000000001</v>
      </c>
      <c r="G872" s="8">
        <f>32.3878 * CHOOSE( CONTROL!$C$15, $D$11, 100%, $F$11)</f>
        <v>32.387799999999999</v>
      </c>
      <c r="H872" s="4">
        <f>33.2974 * CHOOSE(CONTROL!$C$15, $D$11, 100%, $F$11)</f>
        <v>33.297400000000003</v>
      </c>
      <c r="I872" s="8">
        <f>31.9005 * CHOOSE(CONTROL!$C$15, $D$11, 100%, $F$11)</f>
        <v>31.900500000000001</v>
      </c>
      <c r="J872" s="4">
        <f>31.8364 * CHOOSE(CONTROL!$C$15, $D$11, 100%, $F$11)</f>
        <v>31.836400000000001</v>
      </c>
      <c r="K872" s="4"/>
      <c r="L872" s="9">
        <v>27.988800000000001</v>
      </c>
      <c r="M872" s="9">
        <v>11.6745</v>
      </c>
      <c r="N872" s="9">
        <v>4.7850000000000001</v>
      </c>
      <c r="O872" s="9">
        <v>0.36249999999999999</v>
      </c>
      <c r="P872" s="9">
        <v>1.1798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CONTROL!$C$32, 34.1207, 34.1154) * CHOOSE(CONTROL!$C$15, $D$11, 100%, $F$11)</f>
        <v>34.120699999999999</v>
      </c>
      <c r="C873" s="8">
        <f>CHOOSE( CONTROL!$C$32, 34.1311, 34.1259) * CHOOSE(CONTROL!$C$15, $D$11, 100%, $F$11)</f>
        <v>34.131100000000004</v>
      </c>
      <c r="D873" s="8">
        <f>CHOOSE( CONTROL!$C$32, 34.144, 34.1387) * CHOOSE( CONTROL!$C$15, $D$11, 100%, $F$11)</f>
        <v>34.143999999999998</v>
      </c>
      <c r="E873" s="12">
        <f>CHOOSE( CONTROL!$C$32, 34.1377, 34.1325) * CHOOSE( CONTROL!$C$15, $D$11, 100%, $F$11)</f>
        <v>34.137700000000002</v>
      </c>
      <c r="F873" s="4">
        <f>CHOOSE( CONTROL!$C$32, 35.1436, 35.1384) * CHOOSE(CONTROL!$C$15, $D$11, 100%, $F$11)</f>
        <v>35.143599999999999</v>
      </c>
      <c r="G873" s="8">
        <f>CHOOSE( CONTROL!$C$32, 33.2615, 33.2563) * CHOOSE( CONTROL!$C$15, $D$11, 100%, $F$11)</f>
        <v>33.261499999999998</v>
      </c>
      <c r="H873" s="4">
        <f>CHOOSE( CONTROL!$C$32, 34.1807, 34.1756) * CHOOSE(CONTROL!$C$15, $D$11, 100%, $F$11)</f>
        <v>34.180700000000002</v>
      </c>
      <c r="I873" s="8">
        <f>CHOOSE( CONTROL!$C$32, 32.7596, 32.7546) * CHOOSE(CONTROL!$C$15, $D$11, 100%, $F$11)</f>
        <v>32.759599999999999</v>
      </c>
      <c r="J873" s="4">
        <f>CHOOSE( CONTROL!$C$32, 32.6897, 32.6847) * CHOOSE(CONTROL!$C$15, $D$11, 100%, $F$11)</f>
        <v>32.689700000000002</v>
      </c>
      <c r="K873" s="4"/>
      <c r="L873" s="9">
        <v>29.520499999999998</v>
      </c>
      <c r="M873" s="9">
        <v>12.063700000000001</v>
      </c>
      <c r="N873" s="9">
        <v>4.9444999999999997</v>
      </c>
      <c r="O873" s="9">
        <v>0.37459999999999999</v>
      </c>
      <c r="P873" s="9">
        <v>1.2192000000000001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CONTROL!$C$32, 33.5723, 33.567) * CHOOSE(CONTROL!$C$15, $D$11, 100%, $F$11)</f>
        <v>33.572299999999998</v>
      </c>
      <c r="C874" s="8">
        <f>CHOOSE( CONTROL!$C$32, 33.5827, 33.5775) * CHOOSE(CONTROL!$C$15, $D$11, 100%, $F$11)</f>
        <v>33.582700000000003</v>
      </c>
      <c r="D874" s="8">
        <f>CHOOSE( CONTROL!$C$32, 33.6032, 33.5979) * CHOOSE( CONTROL!$C$15, $D$11, 100%, $F$11)</f>
        <v>33.603200000000001</v>
      </c>
      <c r="E874" s="12">
        <f>CHOOSE( CONTROL!$C$32, 33.5942, 33.5889) * CHOOSE( CONTROL!$C$15, $D$11, 100%, $F$11)</f>
        <v>33.594200000000001</v>
      </c>
      <c r="F874" s="4">
        <f>CHOOSE( CONTROL!$C$32, 34.6077, 34.6025) * CHOOSE(CONTROL!$C$15, $D$11, 100%, $F$11)</f>
        <v>34.607700000000001</v>
      </c>
      <c r="G874" s="8">
        <f>CHOOSE( CONTROL!$C$32, 32.7307, 32.7256) * CHOOSE( CONTROL!$C$15, $D$11, 100%, $F$11)</f>
        <v>32.730699999999999</v>
      </c>
      <c r="H874" s="4">
        <f>CHOOSE( CONTROL!$C$32, 33.6584, 33.6532) * CHOOSE(CONTROL!$C$15, $D$11, 100%, $F$11)</f>
        <v>33.6584</v>
      </c>
      <c r="I874" s="8">
        <f>CHOOSE( CONTROL!$C$32, 32.2391, 32.234) * CHOOSE(CONTROL!$C$15, $D$11, 100%, $F$11)</f>
        <v>32.239100000000001</v>
      </c>
      <c r="J874" s="4">
        <f>CHOOSE( CONTROL!$C$32, 32.1642, 32.1592) * CHOOSE(CONTROL!$C$15, $D$11, 100%, $F$11)</f>
        <v>32.164200000000001</v>
      </c>
      <c r="K874" s="4"/>
      <c r="L874" s="9">
        <v>28.568200000000001</v>
      </c>
      <c r="M874" s="9">
        <v>11.6745</v>
      </c>
      <c r="N874" s="9">
        <v>4.7850000000000001</v>
      </c>
      <c r="O874" s="9">
        <v>0.36249999999999999</v>
      </c>
      <c r="P874" s="9">
        <v>1.1798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CONTROL!$C$32, 35.0165, 35.0112) * CHOOSE(CONTROL!$C$15, $D$11, 100%, $F$11)</f>
        <v>35.016500000000001</v>
      </c>
      <c r="C875" s="8">
        <f>CHOOSE( CONTROL!$C$32, 35.0269, 35.0217) * CHOOSE(CONTROL!$C$15, $D$11, 100%, $F$11)</f>
        <v>35.026899999999998</v>
      </c>
      <c r="D875" s="8">
        <f>CHOOSE( CONTROL!$C$32, 35.0375, 35.0323) * CHOOSE( CONTROL!$C$15, $D$11, 100%, $F$11)</f>
        <v>35.037500000000001</v>
      </c>
      <c r="E875" s="12">
        <f>CHOOSE( CONTROL!$C$32, 35.0321, 35.0269) * CHOOSE( CONTROL!$C$15, $D$11, 100%, $F$11)</f>
        <v>35.0321</v>
      </c>
      <c r="F875" s="4">
        <f>CHOOSE( CONTROL!$C$32, 36.0519, 36.0466) * CHOOSE(CONTROL!$C$15, $D$11, 100%, $F$11)</f>
        <v>36.051900000000003</v>
      </c>
      <c r="G875" s="8">
        <f>CHOOSE( CONTROL!$C$32, 34.1253, 34.1201) * CHOOSE( CONTROL!$C$15, $D$11, 100%, $F$11)</f>
        <v>34.125300000000003</v>
      </c>
      <c r="H875" s="4">
        <f>CHOOSE( CONTROL!$C$32, 35.0661, 35.061) * CHOOSE(CONTROL!$C$15, $D$11, 100%, $F$11)</f>
        <v>35.066099999999999</v>
      </c>
      <c r="I875" s="8">
        <f>CHOOSE( CONTROL!$C$32, 33.627, 33.6219) * CHOOSE(CONTROL!$C$15, $D$11, 100%, $F$11)</f>
        <v>33.627000000000002</v>
      </c>
      <c r="J875" s="4">
        <f>CHOOSE( CONTROL!$C$32, 33.548, 33.543) * CHOOSE(CONTROL!$C$15, $D$11, 100%, $F$11)</f>
        <v>33.548000000000002</v>
      </c>
      <c r="K875" s="4"/>
      <c r="L875" s="9">
        <v>29.520499999999998</v>
      </c>
      <c r="M875" s="9">
        <v>12.063700000000001</v>
      </c>
      <c r="N875" s="9">
        <v>4.9444999999999997</v>
      </c>
      <c r="O875" s="9">
        <v>0.37459999999999999</v>
      </c>
      <c r="P875" s="9">
        <v>1.2192000000000001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CONTROL!$C$32, 32.3142, 32.309) * CHOOSE(CONTROL!$C$15, $D$11, 100%, $F$11)</f>
        <v>32.3142</v>
      </c>
      <c r="C876" s="8">
        <f>CHOOSE( CONTROL!$C$32, 32.3247, 32.3194) * CHOOSE(CONTROL!$C$15, $D$11, 100%, $F$11)</f>
        <v>32.3247</v>
      </c>
      <c r="D876" s="8">
        <f>CHOOSE( CONTROL!$C$32, 32.3356, 32.3304) * CHOOSE( CONTROL!$C$15, $D$11, 100%, $F$11)</f>
        <v>32.335599999999999</v>
      </c>
      <c r="E876" s="12">
        <f>CHOOSE( CONTROL!$C$32, 32.33, 32.3248) * CHOOSE( CONTROL!$C$15, $D$11, 100%, $F$11)</f>
        <v>32.33</v>
      </c>
      <c r="F876" s="4">
        <f>CHOOSE( CONTROL!$C$32, 33.3497, 33.3444) * CHOOSE(CONTROL!$C$15, $D$11, 100%, $F$11)</f>
        <v>33.349699999999999</v>
      </c>
      <c r="G876" s="8">
        <f>CHOOSE( CONTROL!$C$32, 31.4917, 31.4866) * CHOOSE( CONTROL!$C$15, $D$11, 100%, $F$11)</f>
        <v>31.491700000000002</v>
      </c>
      <c r="H876" s="4">
        <f>CHOOSE( CONTROL!$C$32, 32.4321, 32.4269) * CHOOSE(CONTROL!$C$15, $D$11, 100%, $F$11)</f>
        <v>32.432099999999998</v>
      </c>
      <c r="I876" s="8">
        <f>CHOOSE( CONTROL!$C$32, 31.038, 31.033) * CHOOSE(CONTROL!$C$15, $D$11, 100%, $F$11)</f>
        <v>31.038</v>
      </c>
      <c r="J876" s="4">
        <f>CHOOSE( CONTROL!$C$32, 30.9588, 30.9537) * CHOOSE(CONTROL!$C$15, $D$11, 100%, $F$11)</f>
        <v>30.9588</v>
      </c>
      <c r="K876" s="4"/>
      <c r="L876" s="9">
        <v>29.520499999999998</v>
      </c>
      <c r="M876" s="9">
        <v>12.063700000000001</v>
      </c>
      <c r="N876" s="9">
        <v>4.9444999999999997</v>
      </c>
      <c r="O876" s="9">
        <v>0.37459999999999999</v>
      </c>
      <c r="P876" s="9">
        <v>1.2192000000000001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CONTROL!$C$32, 31.6376, 31.6323) * CHOOSE(CONTROL!$C$15, $D$11, 100%, $F$11)</f>
        <v>31.637599999999999</v>
      </c>
      <c r="C877" s="8">
        <f>CHOOSE( CONTROL!$C$32, 31.648, 31.6428) * CHOOSE(CONTROL!$C$15, $D$11, 100%, $F$11)</f>
        <v>31.648</v>
      </c>
      <c r="D877" s="8">
        <f>CHOOSE( CONTROL!$C$32, 31.6591, 31.6538) * CHOOSE( CONTROL!$C$15, $D$11, 100%, $F$11)</f>
        <v>31.659099999999999</v>
      </c>
      <c r="E877" s="12">
        <f>CHOOSE( CONTROL!$C$32, 31.6535, 31.6482) * CHOOSE( CONTROL!$C$15, $D$11, 100%, $F$11)</f>
        <v>31.653500000000001</v>
      </c>
      <c r="F877" s="4">
        <f>CHOOSE( CONTROL!$C$32, 32.673, 32.6677) * CHOOSE(CONTROL!$C$15, $D$11, 100%, $F$11)</f>
        <v>32.673000000000002</v>
      </c>
      <c r="G877" s="8">
        <f>CHOOSE( CONTROL!$C$32, 30.8323, 30.8272) * CHOOSE( CONTROL!$C$15, $D$11, 100%, $F$11)</f>
        <v>30.8323</v>
      </c>
      <c r="H877" s="4">
        <f>CHOOSE( CONTROL!$C$32, 31.7725, 31.7673) * CHOOSE(CONTROL!$C$15, $D$11, 100%, $F$11)</f>
        <v>31.772500000000001</v>
      </c>
      <c r="I877" s="8">
        <f>CHOOSE( CONTROL!$C$32, 30.39, 30.3849) * CHOOSE(CONTROL!$C$15, $D$11, 100%, $F$11)</f>
        <v>30.39</v>
      </c>
      <c r="J877" s="4">
        <f>CHOOSE( CONTROL!$C$32, 30.3104, 30.3053) * CHOOSE(CONTROL!$C$15, $D$11, 100%, $F$11)</f>
        <v>30.310400000000001</v>
      </c>
      <c r="K877" s="4"/>
      <c r="L877" s="9">
        <v>28.568200000000001</v>
      </c>
      <c r="M877" s="9">
        <v>11.6745</v>
      </c>
      <c r="N877" s="9">
        <v>4.7850000000000001</v>
      </c>
      <c r="O877" s="9">
        <v>0.36249999999999999</v>
      </c>
      <c r="P877" s="9">
        <v>1.1798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33.0373 * CHOOSE(CONTROL!$C$15, $D$11, 100%, $F$11)</f>
        <v>33.037300000000002</v>
      </c>
      <c r="C878" s="8">
        <f>33.0478 * CHOOSE(CONTROL!$C$15, $D$11, 100%, $F$11)</f>
        <v>33.047800000000002</v>
      </c>
      <c r="D878" s="8">
        <f>33.0601 * CHOOSE( CONTROL!$C$15, $D$11, 100%, $F$11)</f>
        <v>33.060099999999998</v>
      </c>
      <c r="E878" s="12">
        <f>33.0549 * CHOOSE( CONTROL!$C$15, $D$11, 100%, $F$11)</f>
        <v>33.054900000000004</v>
      </c>
      <c r="F878" s="4">
        <f>34.0727 * CHOOSE(CONTROL!$C$15, $D$11, 100%, $F$11)</f>
        <v>34.072699999999998</v>
      </c>
      <c r="G878" s="8">
        <f>32.1961 * CHOOSE( CONTROL!$C$15, $D$11, 100%, $F$11)</f>
        <v>32.196100000000001</v>
      </c>
      <c r="H878" s="4">
        <f>33.1369 * CHOOSE(CONTROL!$C$15, $D$11, 100%, $F$11)</f>
        <v>33.136899999999997</v>
      </c>
      <c r="I878" s="8">
        <f>31.7333 * CHOOSE(CONTROL!$C$15, $D$11, 100%, $F$11)</f>
        <v>31.7333</v>
      </c>
      <c r="J878" s="4">
        <f>31.6516 * CHOOSE(CONTROL!$C$15, $D$11, 100%, $F$11)</f>
        <v>31.651599999999998</v>
      </c>
      <c r="K878" s="4"/>
      <c r="L878" s="9">
        <v>28.921800000000001</v>
      </c>
      <c r="M878" s="9">
        <v>12.063700000000001</v>
      </c>
      <c r="N878" s="9">
        <v>4.9444999999999997</v>
      </c>
      <c r="O878" s="9">
        <v>0.37459999999999999</v>
      </c>
      <c r="P878" s="9">
        <v>1.2192000000000001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35.6307 * CHOOSE(CONTROL!$C$15, $D$11, 100%, $F$11)</f>
        <v>35.630699999999997</v>
      </c>
      <c r="C879" s="8">
        <f>35.6411 * CHOOSE(CONTROL!$C$15, $D$11, 100%, $F$11)</f>
        <v>35.641100000000002</v>
      </c>
      <c r="D879" s="8">
        <f>35.6248 * CHOOSE( CONTROL!$C$15, $D$11, 100%, $F$11)</f>
        <v>35.6248</v>
      </c>
      <c r="E879" s="12">
        <f>35.6297 * CHOOSE( CONTROL!$C$15, $D$11, 100%, $F$11)</f>
        <v>35.6297</v>
      </c>
      <c r="F879" s="4">
        <f>36.6249 * CHOOSE(CONTROL!$C$15, $D$11, 100%, $F$11)</f>
        <v>36.624899999999997</v>
      </c>
      <c r="G879" s="8">
        <f>34.745 * CHOOSE( CONTROL!$C$15, $D$11, 100%, $F$11)</f>
        <v>34.744999999999997</v>
      </c>
      <c r="H879" s="4">
        <f>35.6246 * CHOOSE(CONTROL!$C$15, $D$11, 100%, $F$11)</f>
        <v>35.624600000000001</v>
      </c>
      <c r="I879" s="8">
        <f>34.2563 * CHOOSE(CONTROL!$C$15, $D$11, 100%, $F$11)</f>
        <v>34.256300000000003</v>
      </c>
      <c r="J879" s="4">
        <f>34.1365 * CHOOSE(CONTROL!$C$15, $D$11, 100%, $F$11)</f>
        <v>34.136499999999998</v>
      </c>
      <c r="K879" s="4"/>
      <c r="L879" s="9">
        <v>26.515499999999999</v>
      </c>
      <c r="M879" s="9">
        <v>11.6745</v>
      </c>
      <c r="N879" s="9">
        <v>4.7850000000000001</v>
      </c>
      <c r="O879" s="9">
        <v>0.36249999999999999</v>
      </c>
      <c r="P879" s="9">
        <v>1.2522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35.5659 * CHOOSE(CONTROL!$C$15, $D$11, 100%, $F$11)</f>
        <v>35.565899999999999</v>
      </c>
      <c r="C880" s="8">
        <f>35.5763 * CHOOSE(CONTROL!$C$15, $D$11, 100%, $F$11)</f>
        <v>35.576300000000003</v>
      </c>
      <c r="D880" s="8">
        <f>35.5623 * CHOOSE( CONTROL!$C$15, $D$11, 100%, $F$11)</f>
        <v>35.5623</v>
      </c>
      <c r="E880" s="12">
        <f>35.5663 * CHOOSE( CONTROL!$C$15, $D$11, 100%, $F$11)</f>
        <v>35.566299999999998</v>
      </c>
      <c r="F880" s="4">
        <f>36.5601 * CHOOSE(CONTROL!$C$15, $D$11, 100%, $F$11)</f>
        <v>36.560099999999998</v>
      </c>
      <c r="G880" s="8">
        <f>34.6836 * CHOOSE( CONTROL!$C$15, $D$11, 100%, $F$11)</f>
        <v>34.683599999999998</v>
      </c>
      <c r="H880" s="4">
        <f>35.5615 * CHOOSE(CONTROL!$C$15, $D$11, 100%, $F$11)</f>
        <v>35.561500000000002</v>
      </c>
      <c r="I880" s="8">
        <f>34.2018 * CHOOSE(CONTROL!$C$15, $D$11, 100%, $F$11)</f>
        <v>34.201799999999999</v>
      </c>
      <c r="J880" s="4">
        <f>34.0745 * CHOOSE(CONTROL!$C$15, $D$11, 100%, $F$11)</f>
        <v>34.0745</v>
      </c>
      <c r="K880" s="4"/>
      <c r="L880" s="9">
        <v>27.3993</v>
      </c>
      <c r="M880" s="9">
        <v>12.063700000000001</v>
      </c>
      <c r="N880" s="9">
        <v>4.9444999999999997</v>
      </c>
      <c r="O880" s="9">
        <v>0.37459999999999999</v>
      </c>
      <c r="P880" s="9">
        <v>1.2939000000000001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36.925 * CHOOSE(CONTROL!$C$15, $D$11, 100%, $F$11)</f>
        <v>36.924999999999997</v>
      </c>
      <c r="C881" s="8">
        <f>36.9354 * CHOOSE(CONTROL!$C$15, $D$11, 100%, $F$11)</f>
        <v>36.935400000000001</v>
      </c>
      <c r="D881" s="8">
        <f>36.9347 * CHOOSE( CONTROL!$C$15, $D$11, 100%, $F$11)</f>
        <v>36.934699999999999</v>
      </c>
      <c r="E881" s="12">
        <f>36.9338 * CHOOSE( CONTROL!$C$15, $D$11, 100%, $F$11)</f>
        <v>36.933799999999998</v>
      </c>
      <c r="F881" s="4">
        <f>37.9479 * CHOOSE(CONTROL!$C$15, $D$11, 100%, $F$11)</f>
        <v>37.947899999999997</v>
      </c>
      <c r="G881" s="8">
        <f>36.022 * CHOOSE( CONTROL!$C$15, $D$11, 100%, $F$11)</f>
        <v>36.021999999999998</v>
      </c>
      <c r="H881" s="4">
        <f>36.9143 * CHOOSE(CONTROL!$C$15, $D$11, 100%, $F$11)</f>
        <v>36.914299999999997</v>
      </c>
      <c r="I881" s="8">
        <f>35.503 * CHOOSE(CONTROL!$C$15, $D$11, 100%, $F$11)</f>
        <v>35.503</v>
      </c>
      <c r="J881" s="4">
        <f>35.3768 * CHOOSE(CONTROL!$C$15, $D$11, 100%, $F$11)</f>
        <v>35.376800000000003</v>
      </c>
      <c r="K881" s="4"/>
      <c r="L881" s="9">
        <v>27.3993</v>
      </c>
      <c r="M881" s="9">
        <v>12.063700000000001</v>
      </c>
      <c r="N881" s="9">
        <v>4.9444999999999997</v>
      </c>
      <c r="O881" s="9">
        <v>0.37459999999999999</v>
      </c>
      <c r="P881" s="9">
        <v>1.2939000000000001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34.5382 * CHOOSE(CONTROL!$C$15, $D$11, 100%, $F$11)</f>
        <v>34.538200000000003</v>
      </c>
      <c r="C882" s="8">
        <f>34.5486 * CHOOSE(CONTROL!$C$15, $D$11, 100%, $F$11)</f>
        <v>34.5486</v>
      </c>
      <c r="D882" s="8">
        <f>34.5501 * CHOOSE( CONTROL!$C$15, $D$11, 100%, $F$11)</f>
        <v>34.5501</v>
      </c>
      <c r="E882" s="12">
        <f>34.5484 * CHOOSE( CONTROL!$C$15, $D$11, 100%, $F$11)</f>
        <v>34.548400000000001</v>
      </c>
      <c r="F882" s="4">
        <f>35.5532 * CHOOSE(CONTROL!$C$15, $D$11, 100%, $F$11)</f>
        <v>35.553199999999997</v>
      </c>
      <c r="G882" s="8">
        <f>33.6951 * CHOOSE( CONTROL!$C$15, $D$11, 100%, $F$11)</f>
        <v>33.695099999999996</v>
      </c>
      <c r="H882" s="4">
        <f>34.58 * CHOOSE(CONTROL!$C$15, $D$11, 100%, $F$11)</f>
        <v>34.58</v>
      </c>
      <c r="I882" s="8">
        <f>33.2039 * CHOOSE(CONTROL!$C$15, $D$11, 100%, $F$11)</f>
        <v>33.203899999999997</v>
      </c>
      <c r="J882" s="4">
        <f>33.0897 * CHOOSE(CONTROL!$C$15, $D$11, 100%, $F$11)</f>
        <v>33.089700000000001</v>
      </c>
      <c r="K882" s="4"/>
      <c r="L882" s="9">
        <v>25.631599999999999</v>
      </c>
      <c r="M882" s="9">
        <v>11.285299999999999</v>
      </c>
      <c r="N882" s="9">
        <v>4.6254999999999997</v>
      </c>
      <c r="O882" s="9">
        <v>0.35039999999999999</v>
      </c>
      <c r="P882" s="9">
        <v>1.2104999999999999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33.803 * CHOOSE(CONTROL!$C$15, $D$11, 100%, $F$11)</f>
        <v>33.802999999999997</v>
      </c>
      <c r="C883" s="8">
        <f>33.8135 * CHOOSE(CONTROL!$C$15, $D$11, 100%, $F$11)</f>
        <v>33.813499999999998</v>
      </c>
      <c r="D883" s="8">
        <f>33.7945 * CHOOSE( CONTROL!$C$15, $D$11, 100%, $F$11)</f>
        <v>33.794499999999999</v>
      </c>
      <c r="E883" s="12">
        <f>33.8003 * CHOOSE( CONTROL!$C$15, $D$11, 100%, $F$11)</f>
        <v>33.8003</v>
      </c>
      <c r="F883" s="4">
        <f>34.8019 * CHOOSE(CONTROL!$C$15, $D$11, 100%, $F$11)</f>
        <v>34.801900000000003</v>
      </c>
      <c r="G883" s="8">
        <f>32.9578 * CHOOSE( CONTROL!$C$15, $D$11, 100%, $F$11)</f>
        <v>32.957799999999999</v>
      </c>
      <c r="H883" s="4">
        <f>33.8477 * CHOOSE(CONTROL!$C$15, $D$11, 100%, $F$11)</f>
        <v>33.847700000000003</v>
      </c>
      <c r="I883" s="8">
        <f>32.4597 * CHOOSE(CONTROL!$C$15, $D$11, 100%, $F$11)</f>
        <v>32.459699999999998</v>
      </c>
      <c r="J883" s="4">
        <f>32.3853 * CHOOSE(CONTROL!$C$15, $D$11, 100%, $F$11)</f>
        <v>32.385300000000001</v>
      </c>
      <c r="K883" s="4"/>
      <c r="L883" s="9">
        <v>27.3993</v>
      </c>
      <c r="M883" s="9">
        <v>12.063700000000001</v>
      </c>
      <c r="N883" s="9">
        <v>4.9444999999999997</v>
      </c>
      <c r="O883" s="9">
        <v>0.37459999999999999</v>
      </c>
      <c r="P883" s="9">
        <v>1.2939000000000001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34.3167 * CHOOSE(CONTROL!$C$15, $D$11, 100%, $F$11)</f>
        <v>34.316699999999997</v>
      </c>
      <c r="C884" s="8">
        <f>34.3272 * CHOOSE(CONTROL!$C$15, $D$11, 100%, $F$11)</f>
        <v>34.327199999999998</v>
      </c>
      <c r="D884" s="8">
        <f>34.3312 * CHOOSE( CONTROL!$C$15, $D$11, 100%, $F$11)</f>
        <v>34.331200000000003</v>
      </c>
      <c r="E884" s="12">
        <f>34.3287 * CHOOSE( CONTROL!$C$15, $D$11, 100%, $F$11)</f>
        <v>34.328699999999998</v>
      </c>
      <c r="F884" s="4">
        <f>35.324 * CHOOSE(CONTROL!$C$15, $D$11, 100%, $F$11)</f>
        <v>35.323999999999998</v>
      </c>
      <c r="G884" s="8">
        <f>33.4469 * CHOOSE( CONTROL!$C$15, $D$11, 100%, $F$11)</f>
        <v>33.446899999999999</v>
      </c>
      <c r="H884" s="4">
        <f>34.3566 * CHOOSE(CONTROL!$C$15, $D$11, 100%, $F$11)</f>
        <v>34.3566</v>
      </c>
      <c r="I884" s="8">
        <f>32.9422 * CHOOSE(CONTROL!$C$15, $D$11, 100%, $F$11)</f>
        <v>32.9422</v>
      </c>
      <c r="J884" s="4">
        <f>32.8775 * CHOOSE(CONTROL!$C$15, $D$11, 100%, $F$11)</f>
        <v>32.877499999999998</v>
      </c>
      <c r="K884" s="4"/>
      <c r="L884" s="9">
        <v>27.988800000000001</v>
      </c>
      <c r="M884" s="9">
        <v>11.6745</v>
      </c>
      <c r="N884" s="9">
        <v>4.7850000000000001</v>
      </c>
      <c r="O884" s="9">
        <v>0.36249999999999999</v>
      </c>
      <c r="P884" s="9">
        <v>1.1798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CONTROL!$C$32, 35.2362, 35.231) * CHOOSE(CONTROL!$C$15, $D$11, 100%, $F$11)</f>
        <v>35.236199999999997</v>
      </c>
      <c r="C885" s="8">
        <f>CHOOSE( CONTROL!$C$32, 35.2467, 35.2414) * CHOOSE(CONTROL!$C$15, $D$11, 100%, $F$11)</f>
        <v>35.246699999999997</v>
      </c>
      <c r="D885" s="8">
        <f>CHOOSE( CONTROL!$C$32, 35.2595, 35.2543) * CHOOSE( CONTROL!$C$15, $D$11, 100%, $F$11)</f>
        <v>35.259500000000003</v>
      </c>
      <c r="E885" s="12">
        <f>CHOOSE( CONTROL!$C$32, 35.2533, 35.248) * CHOOSE( CONTROL!$C$15, $D$11, 100%, $F$11)</f>
        <v>35.253300000000003</v>
      </c>
      <c r="F885" s="4">
        <f>CHOOSE( CONTROL!$C$32, 36.2591, 36.2539) * CHOOSE(CONTROL!$C$15, $D$11, 100%, $F$11)</f>
        <v>36.259099999999997</v>
      </c>
      <c r="G885" s="8">
        <f>CHOOSE( CONTROL!$C$32, 34.3489, 34.3437) * CHOOSE( CONTROL!$C$15, $D$11, 100%, $F$11)</f>
        <v>34.3489</v>
      </c>
      <c r="H885" s="4">
        <f>CHOOSE( CONTROL!$C$32, 35.2681, 35.263) * CHOOSE(CONTROL!$C$15, $D$11, 100%, $F$11)</f>
        <v>35.268099999999997</v>
      </c>
      <c r="I885" s="8">
        <f>CHOOSE( CONTROL!$C$32, 33.829, 33.824) * CHOOSE(CONTROL!$C$15, $D$11, 100%, $F$11)</f>
        <v>33.829000000000001</v>
      </c>
      <c r="J885" s="4">
        <f>CHOOSE( CONTROL!$C$32, 33.7586, 33.7536) * CHOOSE(CONTROL!$C$15, $D$11, 100%, $F$11)</f>
        <v>33.758600000000001</v>
      </c>
      <c r="K885" s="4"/>
      <c r="L885" s="9">
        <v>29.520499999999998</v>
      </c>
      <c r="M885" s="9">
        <v>12.063700000000001</v>
      </c>
      <c r="N885" s="9">
        <v>4.9444999999999997</v>
      </c>
      <c r="O885" s="9">
        <v>0.37459999999999999</v>
      </c>
      <c r="P885" s="9">
        <v>1.2192000000000001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CONTROL!$C$32, 34.6699, 34.6646) * CHOOSE(CONTROL!$C$15, $D$11, 100%, $F$11)</f>
        <v>34.669899999999998</v>
      </c>
      <c r="C886" s="8">
        <f>CHOOSE( CONTROL!$C$32, 34.6803, 34.6751) * CHOOSE(CONTROL!$C$15, $D$11, 100%, $F$11)</f>
        <v>34.680300000000003</v>
      </c>
      <c r="D886" s="8">
        <f>CHOOSE( CONTROL!$C$32, 34.7008, 34.6955) * CHOOSE( CONTROL!$C$15, $D$11, 100%, $F$11)</f>
        <v>34.700800000000001</v>
      </c>
      <c r="E886" s="12">
        <f>CHOOSE( CONTROL!$C$32, 34.6918, 34.6865) * CHOOSE( CONTROL!$C$15, $D$11, 100%, $F$11)</f>
        <v>34.691800000000001</v>
      </c>
      <c r="F886" s="4">
        <f>CHOOSE( CONTROL!$C$32, 35.7053, 35.7001) * CHOOSE(CONTROL!$C$15, $D$11, 100%, $F$11)</f>
        <v>35.705300000000001</v>
      </c>
      <c r="G886" s="8">
        <f>CHOOSE( CONTROL!$C$32, 33.8007, 33.7955) * CHOOSE( CONTROL!$C$15, $D$11, 100%, $F$11)</f>
        <v>33.800699999999999</v>
      </c>
      <c r="H886" s="4">
        <f>CHOOSE( CONTROL!$C$32, 34.7283, 34.7231) * CHOOSE(CONTROL!$C$15, $D$11, 100%, $F$11)</f>
        <v>34.728299999999997</v>
      </c>
      <c r="I886" s="8">
        <f>CHOOSE( CONTROL!$C$32, 33.2913, 33.2863) * CHOOSE(CONTROL!$C$15, $D$11, 100%, $F$11)</f>
        <v>33.2913</v>
      </c>
      <c r="J886" s="4">
        <f>CHOOSE( CONTROL!$C$32, 33.2159, 33.2109) * CHOOSE(CONTROL!$C$15, $D$11, 100%, $F$11)</f>
        <v>33.215899999999998</v>
      </c>
      <c r="K886" s="4"/>
      <c r="L886" s="9">
        <v>28.568200000000001</v>
      </c>
      <c r="M886" s="9">
        <v>11.6745</v>
      </c>
      <c r="N886" s="9">
        <v>4.7850000000000001</v>
      </c>
      <c r="O886" s="9">
        <v>0.36249999999999999</v>
      </c>
      <c r="P886" s="9">
        <v>1.1798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CONTROL!$C$32, 36.1613, 36.156) * CHOOSE(CONTROL!$C$15, $D$11, 100%, $F$11)</f>
        <v>36.161299999999997</v>
      </c>
      <c r="C887" s="8">
        <f>CHOOSE( CONTROL!$C$32, 36.1717, 36.1665) * CHOOSE(CONTROL!$C$15, $D$11, 100%, $F$11)</f>
        <v>36.171700000000001</v>
      </c>
      <c r="D887" s="8">
        <f>CHOOSE( CONTROL!$C$32, 36.1823, 36.1771) * CHOOSE( CONTROL!$C$15, $D$11, 100%, $F$11)</f>
        <v>36.182299999999998</v>
      </c>
      <c r="E887" s="12">
        <f>CHOOSE( CONTROL!$C$32, 36.1769, 36.1717) * CHOOSE( CONTROL!$C$15, $D$11, 100%, $F$11)</f>
        <v>36.176900000000003</v>
      </c>
      <c r="F887" s="4">
        <f>CHOOSE( CONTROL!$C$32, 37.1967, 37.1915) * CHOOSE(CONTROL!$C$15, $D$11, 100%, $F$11)</f>
        <v>37.1967</v>
      </c>
      <c r="G887" s="8">
        <f>CHOOSE( CONTROL!$C$32, 35.2412, 35.2361) * CHOOSE( CONTROL!$C$15, $D$11, 100%, $F$11)</f>
        <v>35.241199999999999</v>
      </c>
      <c r="H887" s="4">
        <f>CHOOSE( CONTROL!$C$32, 36.1821, 36.1769) * CHOOSE(CONTROL!$C$15, $D$11, 100%, $F$11)</f>
        <v>36.182099999999998</v>
      </c>
      <c r="I887" s="8">
        <f>CHOOSE( CONTROL!$C$32, 34.7245, 34.7194) * CHOOSE(CONTROL!$C$15, $D$11, 100%, $F$11)</f>
        <v>34.724499999999999</v>
      </c>
      <c r="J887" s="4">
        <f>CHOOSE( CONTROL!$C$32, 34.645, 34.64) * CHOOSE(CONTROL!$C$15, $D$11, 100%, $F$11)</f>
        <v>34.645000000000003</v>
      </c>
      <c r="K887" s="4"/>
      <c r="L887" s="9">
        <v>29.520499999999998</v>
      </c>
      <c r="M887" s="9">
        <v>12.063700000000001</v>
      </c>
      <c r="N887" s="9">
        <v>4.9444999999999997</v>
      </c>
      <c r="O887" s="9">
        <v>0.37459999999999999</v>
      </c>
      <c r="P887" s="9">
        <v>1.2192000000000001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CONTROL!$C$32, 33.3707, 33.3654) * CHOOSE(CONTROL!$C$15, $D$11, 100%, $F$11)</f>
        <v>33.370699999999999</v>
      </c>
      <c r="C888" s="8">
        <f>CHOOSE( CONTROL!$C$32, 33.3811, 33.3759) * CHOOSE(CONTROL!$C$15, $D$11, 100%, $F$11)</f>
        <v>33.381100000000004</v>
      </c>
      <c r="D888" s="8">
        <f>CHOOSE( CONTROL!$C$32, 33.3921, 33.3868) * CHOOSE( CONTROL!$C$15, $D$11, 100%, $F$11)</f>
        <v>33.392099999999999</v>
      </c>
      <c r="E888" s="12">
        <f>CHOOSE( CONTROL!$C$32, 33.3865, 33.3812) * CHOOSE( CONTROL!$C$15, $D$11, 100%, $F$11)</f>
        <v>33.386499999999998</v>
      </c>
      <c r="F888" s="4">
        <f>CHOOSE( CONTROL!$C$32, 34.4061, 34.4009) * CHOOSE(CONTROL!$C$15, $D$11, 100%, $F$11)</f>
        <v>34.406100000000002</v>
      </c>
      <c r="G888" s="8">
        <f>CHOOSE( CONTROL!$C$32, 32.5215, 32.5164) * CHOOSE( CONTROL!$C$15, $D$11, 100%, $F$11)</f>
        <v>32.521500000000003</v>
      </c>
      <c r="H888" s="4">
        <f>CHOOSE( CONTROL!$C$32, 33.4619, 33.4567) * CHOOSE(CONTROL!$C$15, $D$11, 100%, $F$11)</f>
        <v>33.4619</v>
      </c>
      <c r="I888" s="8">
        <f>CHOOSE( CONTROL!$C$32, 32.0508, 32.0458) * CHOOSE(CONTROL!$C$15, $D$11, 100%, $F$11)</f>
        <v>32.050800000000002</v>
      </c>
      <c r="J888" s="4">
        <f>CHOOSE( CONTROL!$C$32, 31.9711, 31.966) * CHOOSE(CONTROL!$C$15, $D$11, 100%, $F$11)</f>
        <v>31.9711</v>
      </c>
      <c r="K888" s="4"/>
      <c r="L888" s="9">
        <v>29.520499999999998</v>
      </c>
      <c r="M888" s="9">
        <v>12.063700000000001</v>
      </c>
      <c r="N888" s="9">
        <v>4.9444999999999997</v>
      </c>
      <c r="O888" s="9">
        <v>0.37459999999999999</v>
      </c>
      <c r="P888" s="9">
        <v>1.2192000000000001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CONTROL!$C$32, 32.6719, 32.6667) * CHOOSE(CONTROL!$C$15, $D$11, 100%, $F$11)</f>
        <v>32.671900000000001</v>
      </c>
      <c r="C889" s="8">
        <f>CHOOSE( CONTROL!$C$32, 32.6823, 32.6771) * CHOOSE(CONTROL!$C$15, $D$11, 100%, $F$11)</f>
        <v>32.682299999999998</v>
      </c>
      <c r="D889" s="8">
        <f>CHOOSE( CONTROL!$C$32, 32.6934, 32.6882) * CHOOSE( CONTROL!$C$15, $D$11, 100%, $F$11)</f>
        <v>32.693399999999997</v>
      </c>
      <c r="E889" s="12">
        <f>CHOOSE( CONTROL!$C$32, 32.6878, 32.6826) * CHOOSE( CONTROL!$C$15, $D$11, 100%, $F$11)</f>
        <v>32.687800000000003</v>
      </c>
      <c r="F889" s="4">
        <f>CHOOSE( CONTROL!$C$32, 33.7073, 33.7021) * CHOOSE(CONTROL!$C$15, $D$11, 100%, $F$11)</f>
        <v>33.707299999999996</v>
      </c>
      <c r="G889" s="8">
        <f>CHOOSE( CONTROL!$C$32, 31.8405, 31.8354) * CHOOSE( CONTROL!$C$15, $D$11, 100%, $F$11)</f>
        <v>31.840499999999999</v>
      </c>
      <c r="H889" s="4">
        <f>CHOOSE( CONTROL!$C$32, 32.7807, 32.7756) * CHOOSE(CONTROL!$C$15, $D$11, 100%, $F$11)</f>
        <v>32.780700000000003</v>
      </c>
      <c r="I889" s="8">
        <f>CHOOSE( CONTROL!$C$32, 31.3816, 31.3765) * CHOOSE(CONTROL!$C$15, $D$11, 100%, $F$11)</f>
        <v>31.381599999999999</v>
      </c>
      <c r="J889" s="4">
        <f>CHOOSE( CONTROL!$C$32, 31.3015, 31.2964) * CHOOSE(CONTROL!$C$15, $D$11, 100%, $F$11)</f>
        <v>31.301500000000001</v>
      </c>
      <c r="K889" s="4"/>
      <c r="L889" s="9">
        <v>28.568200000000001</v>
      </c>
      <c r="M889" s="9">
        <v>11.6745</v>
      </c>
      <c r="N889" s="9">
        <v>4.7850000000000001</v>
      </c>
      <c r="O889" s="9">
        <v>0.36249999999999999</v>
      </c>
      <c r="P889" s="9">
        <v>1.1798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34.1176 * CHOOSE(CONTROL!$C$15, $D$11, 100%, $F$11)</f>
        <v>34.117600000000003</v>
      </c>
      <c r="C890" s="8">
        <f>34.128 * CHOOSE(CONTROL!$C$15, $D$11, 100%, $F$11)</f>
        <v>34.128</v>
      </c>
      <c r="D890" s="8">
        <f>34.1404 * CHOOSE( CONTROL!$C$15, $D$11, 100%, $F$11)</f>
        <v>34.1404</v>
      </c>
      <c r="E890" s="12">
        <f>34.1352 * CHOOSE( CONTROL!$C$15, $D$11, 100%, $F$11)</f>
        <v>34.135199999999998</v>
      </c>
      <c r="F890" s="4">
        <f>35.153 * CHOOSE(CONTROL!$C$15, $D$11, 100%, $F$11)</f>
        <v>35.152999999999999</v>
      </c>
      <c r="G890" s="8">
        <f>33.2491 * CHOOSE( CONTROL!$C$15, $D$11, 100%, $F$11)</f>
        <v>33.249099999999999</v>
      </c>
      <c r="H890" s="4">
        <f>34.1899 * CHOOSE(CONTROL!$C$15, $D$11, 100%, $F$11)</f>
        <v>34.189900000000002</v>
      </c>
      <c r="I890" s="8">
        <f>32.7689 * CHOOSE(CONTROL!$C$15, $D$11, 100%, $F$11)</f>
        <v>32.768900000000002</v>
      </c>
      <c r="J890" s="4">
        <f>32.6867 * CHOOSE(CONTROL!$C$15, $D$11, 100%, $F$11)</f>
        <v>32.686700000000002</v>
      </c>
      <c r="K890" s="4"/>
      <c r="L890" s="9">
        <v>28.921800000000001</v>
      </c>
      <c r="M890" s="9">
        <v>12.063700000000001</v>
      </c>
      <c r="N890" s="9">
        <v>4.9444999999999997</v>
      </c>
      <c r="O890" s="9">
        <v>0.37459999999999999</v>
      </c>
      <c r="P890" s="9">
        <v>1.2192000000000001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36.7958 * CHOOSE(CONTROL!$C$15, $D$11, 100%, $F$11)</f>
        <v>36.7958</v>
      </c>
      <c r="C891" s="8">
        <f>36.8062 * CHOOSE(CONTROL!$C$15, $D$11, 100%, $F$11)</f>
        <v>36.806199999999997</v>
      </c>
      <c r="D891" s="8">
        <f>36.7899 * CHOOSE( CONTROL!$C$15, $D$11, 100%, $F$11)</f>
        <v>36.789900000000003</v>
      </c>
      <c r="E891" s="12">
        <f>36.7948 * CHOOSE( CONTROL!$C$15, $D$11, 100%, $F$11)</f>
        <v>36.794800000000002</v>
      </c>
      <c r="F891" s="4">
        <f>37.79 * CHOOSE(CONTROL!$C$15, $D$11, 100%, $F$11)</f>
        <v>37.79</v>
      </c>
      <c r="G891" s="8">
        <f>35.8807 * CHOOSE( CONTROL!$C$15, $D$11, 100%, $F$11)</f>
        <v>35.880699999999997</v>
      </c>
      <c r="H891" s="4">
        <f>36.7603 * CHOOSE(CONTROL!$C$15, $D$11, 100%, $F$11)</f>
        <v>36.760300000000001</v>
      </c>
      <c r="I891" s="8">
        <f>35.3733 * CHOOSE(CONTROL!$C$15, $D$11, 100%, $F$11)</f>
        <v>35.3733</v>
      </c>
      <c r="J891" s="4">
        <f>35.2529 * CHOOSE(CONTROL!$C$15, $D$11, 100%, $F$11)</f>
        <v>35.252899999999997</v>
      </c>
      <c r="K891" s="4"/>
      <c r="L891" s="9">
        <v>26.515499999999999</v>
      </c>
      <c r="M891" s="9">
        <v>11.6745</v>
      </c>
      <c r="N891" s="9">
        <v>4.7850000000000001</v>
      </c>
      <c r="O891" s="9">
        <v>0.36249999999999999</v>
      </c>
      <c r="P891" s="9">
        <v>1.2522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36.7288 * CHOOSE(CONTROL!$C$15, $D$11, 100%, $F$11)</f>
        <v>36.7288</v>
      </c>
      <c r="C892" s="8">
        <f>36.7393 * CHOOSE(CONTROL!$C$15, $D$11, 100%, $F$11)</f>
        <v>36.7393</v>
      </c>
      <c r="D892" s="8">
        <f>36.7253 * CHOOSE( CONTROL!$C$15, $D$11, 100%, $F$11)</f>
        <v>36.725299999999997</v>
      </c>
      <c r="E892" s="12">
        <f>36.7293 * CHOOSE( CONTROL!$C$15, $D$11, 100%, $F$11)</f>
        <v>36.729300000000002</v>
      </c>
      <c r="F892" s="4">
        <f>37.723 * CHOOSE(CONTROL!$C$15, $D$11, 100%, $F$11)</f>
        <v>37.722999999999999</v>
      </c>
      <c r="G892" s="8">
        <f>35.8172 * CHOOSE( CONTROL!$C$15, $D$11, 100%, $F$11)</f>
        <v>35.8172</v>
      </c>
      <c r="H892" s="4">
        <f>36.6951 * CHOOSE(CONTROL!$C$15, $D$11, 100%, $F$11)</f>
        <v>36.695099999999996</v>
      </c>
      <c r="I892" s="8">
        <f>35.3167 * CHOOSE(CONTROL!$C$15, $D$11, 100%, $F$11)</f>
        <v>35.316699999999997</v>
      </c>
      <c r="J892" s="4">
        <f>35.1888 * CHOOSE(CONTROL!$C$15, $D$11, 100%, $F$11)</f>
        <v>35.188800000000001</v>
      </c>
      <c r="K892" s="4"/>
      <c r="L892" s="9">
        <v>27.3993</v>
      </c>
      <c r="M892" s="9">
        <v>12.063700000000001</v>
      </c>
      <c r="N892" s="9">
        <v>4.9444999999999997</v>
      </c>
      <c r="O892" s="9">
        <v>0.37459999999999999</v>
      </c>
      <c r="P892" s="9">
        <v>1.2939000000000001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38.1324 * CHOOSE(CONTROL!$C$15, $D$11, 100%, $F$11)</f>
        <v>38.132399999999997</v>
      </c>
      <c r="C893" s="8">
        <f>38.1428 * CHOOSE(CONTROL!$C$15, $D$11, 100%, $F$11)</f>
        <v>38.142800000000001</v>
      </c>
      <c r="D893" s="8">
        <f>38.1422 * CHOOSE( CONTROL!$C$15, $D$11, 100%, $F$11)</f>
        <v>38.142200000000003</v>
      </c>
      <c r="E893" s="12">
        <f>38.1413 * CHOOSE( CONTROL!$C$15, $D$11, 100%, $F$11)</f>
        <v>38.141300000000001</v>
      </c>
      <c r="F893" s="4">
        <f>39.1553 * CHOOSE(CONTROL!$C$15, $D$11, 100%, $F$11)</f>
        <v>39.155299999999997</v>
      </c>
      <c r="G893" s="8">
        <f>37.1989 * CHOOSE( CONTROL!$C$15, $D$11, 100%, $F$11)</f>
        <v>37.198900000000002</v>
      </c>
      <c r="H893" s="4">
        <f>38.0912 * CHOOSE(CONTROL!$C$15, $D$11, 100%, $F$11)</f>
        <v>38.091200000000001</v>
      </c>
      <c r="I893" s="8">
        <f>36.6606 * CHOOSE(CONTROL!$C$15, $D$11, 100%, $F$11)</f>
        <v>36.660600000000002</v>
      </c>
      <c r="J893" s="4">
        <f>36.5337 * CHOOSE(CONTROL!$C$15, $D$11, 100%, $F$11)</f>
        <v>36.533700000000003</v>
      </c>
      <c r="K893" s="4"/>
      <c r="L893" s="9">
        <v>27.3993</v>
      </c>
      <c r="M893" s="9">
        <v>12.063700000000001</v>
      </c>
      <c r="N893" s="9">
        <v>4.9444999999999997</v>
      </c>
      <c r="O893" s="9">
        <v>0.37459999999999999</v>
      </c>
      <c r="P893" s="9">
        <v>1.2939000000000001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35.6675 * CHOOSE(CONTROL!$C$15, $D$11, 100%, $F$11)</f>
        <v>35.667499999999997</v>
      </c>
      <c r="C894" s="8">
        <f>35.678 * CHOOSE(CONTROL!$C$15, $D$11, 100%, $F$11)</f>
        <v>35.677999999999997</v>
      </c>
      <c r="D894" s="8">
        <f>35.6795 * CHOOSE( CONTROL!$C$15, $D$11, 100%, $F$11)</f>
        <v>35.679499999999997</v>
      </c>
      <c r="E894" s="12">
        <f>35.6778 * CHOOSE( CONTROL!$C$15, $D$11, 100%, $F$11)</f>
        <v>35.677799999999998</v>
      </c>
      <c r="F894" s="4">
        <f>36.6826 * CHOOSE(CONTROL!$C$15, $D$11, 100%, $F$11)</f>
        <v>36.682600000000001</v>
      </c>
      <c r="G894" s="8">
        <f>34.796 * CHOOSE( CONTROL!$C$15, $D$11, 100%, $F$11)</f>
        <v>34.795999999999999</v>
      </c>
      <c r="H894" s="4">
        <f>35.6809 * CHOOSE(CONTROL!$C$15, $D$11, 100%, $F$11)</f>
        <v>35.680900000000001</v>
      </c>
      <c r="I894" s="8">
        <f>34.2866 * CHOOSE(CONTROL!$C$15, $D$11, 100%, $F$11)</f>
        <v>34.2866</v>
      </c>
      <c r="J894" s="4">
        <f>34.1719 * CHOOSE(CONTROL!$C$15, $D$11, 100%, $F$11)</f>
        <v>34.171900000000001</v>
      </c>
      <c r="K894" s="4"/>
      <c r="L894" s="9">
        <v>24.747800000000002</v>
      </c>
      <c r="M894" s="9">
        <v>10.8962</v>
      </c>
      <c r="N894" s="9">
        <v>4.4660000000000002</v>
      </c>
      <c r="O894" s="9">
        <v>0.33829999999999999</v>
      </c>
      <c r="P894" s="9">
        <v>1.1687000000000001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34.9084 * CHOOSE(CONTROL!$C$15, $D$11, 100%, $F$11)</f>
        <v>34.9084</v>
      </c>
      <c r="C895" s="8">
        <f>34.9188 * CHOOSE(CONTROL!$C$15, $D$11, 100%, $F$11)</f>
        <v>34.918799999999997</v>
      </c>
      <c r="D895" s="8">
        <f>34.8998 * CHOOSE( CONTROL!$C$15, $D$11, 100%, $F$11)</f>
        <v>34.899799999999999</v>
      </c>
      <c r="E895" s="12">
        <f>34.9056 * CHOOSE( CONTROL!$C$15, $D$11, 100%, $F$11)</f>
        <v>34.9056</v>
      </c>
      <c r="F895" s="4">
        <f>35.9073 * CHOOSE(CONTROL!$C$15, $D$11, 100%, $F$11)</f>
        <v>35.907299999999999</v>
      </c>
      <c r="G895" s="8">
        <f>34.0353 * CHOOSE( CONTROL!$C$15, $D$11, 100%, $F$11)</f>
        <v>34.035299999999999</v>
      </c>
      <c r="H895" s="4">
        <f>34.9251 * CHOOSE(CONTROL!$C$15, $D$11, 100%, $F$11)</f>
        <v>34.9251</v>
      </c>
      <c r="I895" s="8">
        <f>33.5193 * CHOOSE(CONTROL!$C$15, $D$11, 100%, $F$11)</f>
        <v>33.519300000000001</v>
      </c>
      <c r="J895" s="4">
        <f>33.4444 * CHOOSE(CONTROL!$C$15, $D$11, 100%, $F$11)</f>
        <v>33.444400000000002</v>
      </c>
      <c r="K895" s="4"/>
      <c r="L895" s="9">
        <v>27.3993</v>
      </c>
      <c r="M895" s="9">
        <v>12.063700000000001</v>
      </c>
      <c r="N895" s="9">
        <v>4.9444999999999997</v>
      </c>
      <c r="O895" s="9">
        <v>0.37459999999999999</v>
      </c>
      <c r="P895" s="9">
        <v>1.2939000000000001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35.4388 * CHOOSE(CONTROL!$C$15, $D$11, 100%, $F$11)</f>
        <v>35.438800000000001</v>
      </c>
      <c r="C896" s="8">
        <f>35.4493 * CHOOSE(CONTROL!$C$15, $D$11, 100%, $F$11)</f>
        <v>35.449300000000001</v>
      </c>
      <c r="D896" s="8">
        <f>35.4533 * CHOOSE( CONTROL!$C$15, $D$11, 100%, $F$11)</f>
        <v>35.453299999999999</v>
      </c>
      <c r="E896" s="12">
        <f>35.4508 * CHOOSE( CONTROL!$C$15, $D$11, 100%, $F$11)</f>
        <v>35.450800000000001</v>
      </c>
      <c r="F896" s="4">
        <f>36.4461 * CHOOSE(CONTROL!$C$15, $D$11, 100%, $F$11)</f>
        <v>36.446100000000001</v>
      </c>
      <c r="G896" s="8">
        <f>34.5408 * CHOOSE( CONTROL!$C$15, $D$11, 100%, $F$11)</f>
        <v>34.540799999999997</v>
      </c>
      <c r="H896" s="4">
        <f>35.4504 * CHOOSE(CONTROL!$C$15, $D$11, 100%, $F$11)</f>
        <v>35.450400000000002</v>
      </c>
      <c r="I896" s="8">
        <f>34.018 * CHOOSE(CONTROL!$C$15, $D$11, 100%, $F$11)</f>
        <v>34.018000000000001</v>
      </c>
      <c r="J896" s="4">
        <f>33.9527 * CHOOSE(CONTROL!$C$15, $D$11, 100%, $F$11)</f>
        <v>33.9527</v>
      </c>
      <c r="K896" s="4"/>
      <c r="L896" s="9">
        <v>27.988800000000001</v>
      </c>
      <c r="M896" s="9">
        <v>11.6745</v>
      </c>
      <c r="N896" s="9">
        <v>4.7850000000000001</v>
      </c>
      <c r="O896" s="9">
        <v>0.36249999999999999</v>
      </c>
      <c r="P896" s="9">
        <v>1.1798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CONTROL!$C$32, 36.3883, 36.383) * CHOOSE(CONTROL!$C$15, $D$11, 100%, $F$11)</f>
        <v>36.388300000000001</v>
      </c>
      <c r="C897" s="8">
        <f>CHOOSE( CONTROL!$C$32, 36.3987, 36.3934) * CHOOSE(CONTROL!$C$15, $D$11, 100%, $F$11)</f>
        <v>36.398699999999998</v>
      </c>
      <c r="D897" s="8">
        <f>CHOOSE( CONTROL!$C$32, 36.4115, 36.4063) * CHOOSE( CONTROL!$C$15, $D$11, 100%, $F$11)</f>
        <v>36.411499999999997</v>
      </c>
      <c r="E897" s="12">
        <f>CHOOSE( CONTROL!$C$32, 36.4053, 36.4) * CHOOSE( CONTROL!$C$15, $D$11, 100%, $F$11)</f>
        <v>36.405299999999997</v>
      </c>
      <c r="F897" s="4">
        <f>CHOOSE( CONTROL!$C$32, 37.4112, 37.4059) * CHOOSE(CONTROL!$C$15, $D$11, 100%, $F$11)</f>
        <v>37.411200000000001</v>
      </c>
      <c r="G897" s="8">
        <f>CHOOSE( CONTROL!$C$32, 35.4718, 35.4667) * CHOOSE( CONTROL!$C$15, $D$11, 100%, $F$11)</f>
        <v>35.471800000000002</v>
      </c>
      <c r="H897" s="4">
        <f>CHOOSE( CONTROL!$C$32, 36.3911, 36.386) * CHOOSE(CONTROL!$C$15, $D$11, 100%, $F$11)</f>
        <v>36.391100000000002</v>
      </c>
      <c r="I897" s="8">
        <f>CHOOSE( CONTROL!$C$32, 34.9335, 34.9284) * CHOOSE(CONTROL!$C$15, $D$11, 100%, $F$11)</f>
        <v>34.933500000000002</v>
      </c>
      <c r="J897" s="4">
        <f>CHOOSE( CONTROL!$C$32, 34.8625, 34.8574) * CHOOSE(CONTROL!$C$15, $D$11, 100%, $F$11)</f>
        <v>34.862499999999997</v>
      </c>
      <c r="K897" s="4"/>
      <c r="L897" s="9">
        <v>29.520499999999998</v>
      </c>
      <c r="M897" s="9">
        <v>12.063700000000001</v>
      </c>
      <c r="N897" s="9">
        <v>4.9444999999999997</v>
      </c>
      <c r="O897" s="9">
        <v>0.37459999999999999</v>
      </c>
      <c r="P897" s="9">
        <v>1.2192000000000001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CONTROL!$C$32, 35.8034, 35.7981) * CHOOSE(CONTROL!$C$15, $D$11, 100%, $F$11)</f>
        <v>35.803400000000003</v>
      </c>
      <c r="C898" s="8">
        <f>CHOOSE( CONTROL!$C$32, 35.8138, 35.8086) * CHOOSE(CONTROL!$C$15, $D$11, 100%, $F$11)</f>
        <v>35.813800000000001</v>
      </c>
      <c r="D898" s="8">
        <f>CHOOSE( CONTROL!$C$32, 35.8343, 35.829) * CHOOSE( CONTROL!$C$15, $D$11, 100%, $F$11)</f>
        <v>35.834299999999999</v>
      </c>
      <c r="E898" s="12">
        <f>CHOOSE( CONTROL!$C$32, 35.8253, 35.82) * CHOOSE( CONTROL!$C$15, $D$11, 100%, $F$11)</f>
        <v>35.825299999999999</v>
      </c>
      <c r="F898" s="4">
        <f>CHOOSE( CONTROL!$C$32, 36.8388, 36.8336) * CHOOSE(CONTROL!$C$15, $D$11, 100%, $F$11)</f>
        <v>36.838799999999999</v>
      </c>
      <c r="G898" s="8">
        <f>CHOOSE( CONTROL!$C$32, 34.9056, 34.9004) * CHOOSE( CONTROL!$C$15, $D$11, 100%, $F$11)</f>
        <v>34.9056</v>
      </c>
      <c r="H898" s="4">
        <f>CHOOSE( CONTROL!$C$32, 35.8332, 35.8281) * CHOOSE(CONTROL!$C$15, $D$11, 100%, $F$11)</f>
        <v>35.833199999999998</v>
      </c>
      <c r="I898" s="8">
        <f>CHOOSE( CONTROL!$C$32, 34.378, 34.3729) * CHOOSE(CONTROL!$C$15, $D$11, 100%, $F$11)</f>
        <v>34.378</v>
      </c>
      <c r="J898" s="4">
        <f>CHOOSE( CONTROL!$C$32, 34.3021, 34.297) * CHOOSE(CONTROL!$C$15, $D$11, 100%, $F$11)</f>
        <v>34.302100000000003</v>
      </c>
      <c r="K898" s="4"/>
      <c r="L898" s="9">
        <v>28.568200000000001</v>
      </c>
      <c r="M898" s="9">
        <v>11.6745</v>
      </c>
      <c r="N898" s="9">
        <v>4.7850000000000001</v>
      </c>
      <c r="O898" s="9">
        <v>0.36249999999999999</v>
      </c>
      <c r="P898" s="9">
        <v>1.1798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CONTROL!$C$32, 37.3436, 37.3383) * CHOOSE(CONTROL!$C$15, $D$11, 100%, $F$11)</f>
        <v>37.343600000000002</v>
      </c>
      <c r="C899" s="8">
        <f>CHOOSE( CONTROL!$C$32, 37.354, 37.3488) * CHOOSE(CONTROL!$C$15, $D$11, 100%, $F$11)</f>
        <v>37.353999999999999</v>
      </c>
      <c r="D899" s="8">
        <f>CHOOSE( CONTROL!$C$32, 37.3646, 37.3594) * CHOOSE( CONTROL!$C$15, $D$11, 100%, $F$11)</f>
        <v>37.364600000000003</v>
      </c>
      <c r="E899" s="12">
        <f>CHOOSE( CONTROL!$C$32, 37.3592, 37.354) * CHOOSE( CONTROL!$C$15, $D$11, 100%, $F$11)</f>
        <v>37.359200000000001</v>
      </c>
      <c r="F899" s="4">
        <f>CHOOSE( CONTROL!$C$32, 38.379, 38.3738) * CHOOSE(CONTROL!$C$15, $D$11, 100%, $F$11)</f>
        <v>38.378999999999998</v>
      </c>
      <c r="G899" s="8">
        <f>CHOOSE( CONTROL!$C$32, 36.3937, 36.3885) * CHOOSE( CONTROL!$C$15, $D$11, 100%, $F$11)</f>
        <v>36.393700000000003</v>
      </c>
      <c r="H899" s="4">
        <f>CHOOSE( CONTROL!$C$32, 37.3345, 37.3294) * CHOOSE(CONTROL!$C$15, $D$11, 100%, $F$11)</f>
        <v>37.334499999999998</v>
      </c>
      <c r="I899" s="8">
        <f>CHOOSE( CONTROL!$C$32, 35.8579, 35.8529) * CHOOSE(CONTROL!$C$15, $D$11, 100%, $F$11)</f>
        <v>35.857900000000001</v>
      </c>
      <c r="J899" s="4">
        <f>CHOOSE( CONTROL!$C$32, 35.7779, 35.7728) * CHOOSE(CONTROL!$C$15, $D$11, 100%, $F$11)</f>
        <v>35.777900000000002</v>
      </c>
      <c r="K899" s="4"/>
      <c r="L899" s="9">
        <v>29.520499999999998</v>
      </c>
      <c r="M899" s="9">
        <v>12.063700000000001</v>
      </c>
      <c r="N899" s="9">
        <v>4.9444999999999997</v>
      </c>
      <c r="O899" s="9">
        <v>0.37459999999999999</v>
      </c>
      <c r="P899" s="9">
        <v>1.2192000000000001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CONTROL!$C$32, 34.4617, 34.4565) * CHOOSE(CONTROL!$C$15, $D$11, 100%, $F$11)</f>
        <v>34.4617</v>
      </c>
      <c r="C900" s="8">
        <f>CHOOSE( CONTROL!$C$32, 34.4722, 34.4669) * CHOOSE(CONTROL!$C$15, $D$11, 100%, $F$11)</f>
        <v>34.472200000000001</v>
      </c>
      <c r="D900" s="8">
        <f>CHOOSE( CONTROL!$C$32, 34.4831, 34.4778) * CHOOSE( CONTROL!$C$15, $D$11, 100%, $F$11)</f>
        <v>34.4831</v>
      </c>
      <c r="E900" s="12">
        <f>CHOOSE( CONTROL!$C$32, 34.4775, 34.4723) * CHOOSE( CONTROL!$C$15, $D$11, 100%, $F$11)</f>
        <v>34.477499999999999</v>
      </c>
      <c r="F900" s="4">
        <f>CHOOSE( CONTROL!$C$32, 35.4971, 35.4919) * CHOOSE(CONTROL!$C$15, $D$11, 100%, $F$11)</f>
        <v>35.497100000000003</v>
      </c>
      <c r="G900" s="8">
        <f>CHOOSE( CONTROL!$C$32, 33.585, 33.5799) * CHOOSE( CONTROL!$C$15, $D$11, 100%, $F$11)</f>
        <v>33.585000000000001</v>
      </c>
      <c r="H900" s="4">
        <f>CHOOSE( CONTROL!$C$32, 34.5254, 34.5202) * CHOOSE(CONTROL!$C$15, $D$11, 100%, $F$11)</f>
        <v>34.525399999999998</v>
      </c>
      <c r="I900" s="8">
        <f>CHOOSE( CONTROL!$C$32, 33.0967, 33.0917) * CHOOSE(CONTROL!$C$15, $D$11, 100%, $F$11)</f>
        <v>33.096699999999998</v>
      </c>
      <c r="J900" s="4">
        <f>CHOOSE( CONTROL!$C$32, 33.0165, 33.0114) * CHOOSE(CONTROL!$C$15, $D$11, 100%, $F$11)</f>
        <v>33.016500000000001</v>
      </c>
      <c r="K900" s="4"/>
      <c r="L900" s="9">
        <v>29.520499999999998</v>
      </c>
      <c r="M900" s="9">
        <v>12.063700000000001</v>
      </c>
      <c r="N900" s="9">
        <v>4.9444999999999997</v>
      </c>
      <c r="O900" s="9">
        <v>0.37459999999999999</v>
      </c>
      <c r="P900" s="9">
        <v>1.2192000000000001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CONTROL!$C$32, 33.7401, 33.7348) * CHOOSE(CONTROL!$C$15, $D$11, 100%, $F$11)</f>
        <v>33.740099999999998</v>
      </c>
      <c r="C901" s="8">
        <f>CHOOSE( CONTROL!$C$32, 33.7505, 33.7452) * CHOOSE(CONTROL!$C$15, $D$11, 100%, $F$11)</f>
        <v>33.750500000000002</v>
      </c>
      <c r="D901" s="8">
        <f>CHOOSE( CONTROL!$C$32, 33.7616, 33.7563) * CHOOSE( CONTROL!$C$15, $D$11, 100%, $F$11)</f>
        <v>33.761600000000001</v>
      </c>
      <c r="E901" s="12">
        <f>CHOOSE( CONTROL!$C$32, 33.756, 33.7507) * CHOOSE( CONTROL!$C$15, $D$11, 100%, $F$11)</f>
        <v>33.756</v>
      </c>
      <c r="F901" s="4">
        <f>CHOOSE( CONTROL!$C$32, 34.7755, 34.7702) * CHOOSE(CONTROL!$C$15, $D$11, 100%, $F$11)</f>
        <v>34.775500000000001</v>
      </c>
      <c r="G901" s="8">
        <f>CHOOSE( CONTROL!$C$32, 32.8818, 32.8766) * CHOOSE( CONTROL!$C$15, $D$11, 100%, $F$11)</f>
        <v>32.881799999999998</v>
      </c>
      <c r="H901" s="4">
        <f>CHOOSE( CONTROL!$C$32, 33.8219, 33.8168) * CHOOSE(CONTROL!$C$15, $D$11, 100%, $F$11)</f>
        <v>33.821899999999999</v>
      </c>
      <c r="I901" s="8">
        <f>CHOOSE( CONTROL!$C$32, 32.4056, 32.4006) * CHOOSE(CONTROL!$C$15, $D$11, 100%, $F$11)</f>
        <v>32.4056</v>
      </c>
      <c r="J901" s="4">
        <f>CHOOSE( CONTROL!$C$32, 32.325, 32.3199) * CHOOSE(CONTROL!$C$15, $D$11, 100%, $F$11)</f>
        <v>32.325000000000003</v>
      </c>
      <c r="K901" s="4"/>
      <c r="L901" s="9">
        <v>28.568200000000001</v>
      </c>
      <c r="M901" s="9">
        <v>11.6745</v>
      </c>
      <c r="N901" s="9">
        <v>4.7850000000000001</v>
      </c>
      <c r="O901" s="9">
        <v>0.36249999999999999</v>
      </c>
      <c r="P901" s="9">
        <v>1.1798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35.2332 * CHOOSE(CONTROL!$C$15, $D$11, 100%, $F$11)</f>
        <v>35.233199999999997</v>
      </c>
      <c r="C902" s="8">
        <f>35.2436 * CHOOSE(CONTROL!$C$15, $D$11, 100%, $F$11)</f>
        <v>35.243600000000001</v>
      </c>
      <c r="D902" s="8">
        <f>35.256 * CHOOSE( CONTROL!$C$15, $D$11, 100%, $F$11)</f>
        <v>35.256</v>
      </c>
      <c r="E902" s="12">
        <f>35.2508 * CHOOSE( CONTROL!$C$15, $D$11, 100%, $F$11)</f>
        <v>35.250799999999998</v>
      </c>
      <c r="F902" s="4">
        <f>36.2686 * CHOOSE(CONTROL!$C$15, $D$11, 100%, $F$11)</f>
        <v>36.268599999999999</v>
      </c>
      <c r="G902" s="8">
        <f>34.3366 * CHOOSE( CONTROL!$C$15, $D$11, 100%, $F$11)</f>
        <v>34.336599999999997</v>
      </c>
      <c r="H902" s="4">
        <f>35.2774 * CHOOSE(CONTROL!$C$15, $D$11, 100%, $F$11)</f>
        <v>35.2774</v>
      </c>
      <c r="I902" s="8">
        <f>33.8385 * CHOOSE(CONTROL!$C$15, $D$11, 100%, $F$11)</f>
        <v>33.838500000000003</v>
      </c>
      <c r="J902" s="4">
        <f>33.7557 * CHOOSE(CONTROL!$C$15, $D$11, 100%, $F$11)</f>
        <v>33.755699999999997</v>
      </c>
      <c r="K902" s="4"/>
      <c r="L902" s="9">
        <v>28.921800000000001</v>
      </c>
      <c r="M902" s="9">
        <v>12.063700000000001</v>
      </c>
      <c r="N902" s="9">
        <v>4.9444999999999997</v>
      </c>
      <c r="O902" s="9">
        <v>0.37459999999999999</v>
      </c>
      <c r="P902" s="9">
        <v>1.2192000000000001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37.9989 * CHOOSE(CONTROL!$C$15, $D$11, 100%, $F$11)</f>
        <v>37.998899999999999</v>
      </c>
      <c r="C903" s="8">
        <f>38.0094 * CHOOSE(CONTROL!$C$15, $D$11, 100%, $F$11)</f>
        <v>38.009399999999999</v>
      </c>
      <c r="D903" s="8">
        <f>37.9931 * CHOOSE( CONTROL!$C$15, $D$11, 100%, $F$11)</f>
        <v>37.993099999999998</v>
      </c>
      <c r="E903" s="12">
        <f>37.9979 * CHOOSE( CONTROL!$C$15, $D$11, 100%, $F$11)</f>
        <v>37.997900000000001</v>
      </c>
      <c r="F903" s="4">
        <f>38.9932 * CHOOSE(CONTROL!$C$15, $D$11, 100%, $F$11)</f>
        <v>38.993200000000002</v>
      </c>
      <c r="G903" s="8">
        <f>37.0535 * CHOOSE( CONTROL!$C$15, $D$11, 100%, $F$11)</f>
        <v>37.0535</v>
      </c>
      <c r="H903" s="4">
        <f>37.9332 * CHOOSE(CONTROL!$C$15, $D$11, 100%, $F$11)</f>
        <v>37.933199999999999</v>
      </c>
      <c r="I903" s="8">
        <f>36.5268 * CHOOSE(CONTROL!$C$15, $D$11, 100%, $F$11)</f>
        <v>36.526800000000001</v>
      </c>
      <c r="J903" s="4">
        <f>36.4058 * CHOOSE(CONTROL!$C$15, $D$11, 100%, $F$11)</f>
        <v>36.405799999999999</v>
      </c>
      <c r="K903" s="4"/>
      <c r="L903" s="9">
        <v>26.515499999999999</v>
      </c>
      <c r="M903" s="9">
        <v>11.6745</v>
      </c>
      <c r="N903" s="9">
        <v>4.7850000000000001</v>
      </c>
      <c r="O903" s="9">
        <v>0.36249999999999999</v>
      </c>
      <c r="P903" s="9">
        <v>1.2522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37.9298 * CHOOSE(CONTROL!$C$15, $D$11, 100%, $F$11)</f>
        <v>37.9298</v>
      </c>
      <c r="C904" s="8">
        <f>37.9403 * CHOOSE(CONTROL!$C$15, $D$11, 100%, $F$11)</f>
        <v>37.940300000000001</v>
      </c>
      <c r="D904" s="8">
        <f>37.9263 * CHOOSE( CONTROL!$C$15, $D$11, 100%, $F$11)</f>
        <v>37.926299999999998</v>
      </c>
      <c r="E904" s="12">
        <f>37.9303 * CHOOSE( CONTROL!$C$15, $D$11, 100%, $F$11)</f>
        <v>37.930300000000003</v>
      </c>
      <c r="F904" s="4">
        <f>38.9241 * CHOOSE(CONTROL!$C$15, $D$11, 100%, $F$11)</f>
        <v>38.924100000000003</v>
      </c>
      <c r="G904" s="8">
        <f>36.9879 * CHOOSE( CONTROL!$C$15, $D$11, 100%, $F$11)</f>
        <v>36.987900000000003</v>
      </c>
      <c r="H904" s="4">
        <f>37.8658 * CHOOSE(CONTROL!$C$15, $D$11, 100%, $F$11)</f>
        <v>37.8658</v>
      </c>
      <c r="I904" s="8">
        <f>36.4681 * CHOOSE(CONTROL!$C$15, $D$11, 100%, $F$11)</f>
        <v>36.4681</v>
      </c>
      <c r="J904" s="4">
        <f>36.3396 * CHOOSE(CONTROL!$C$15, $D$11, 100%, $F$11)</f>
        <v>36.339599999999997</v>
      </c>
      <c r="K904" s="4"/>
      <c r="L904" s="9">
        <v>27.3993</v>
      </c>
      <c r="M904" s="9">
        <v>12.063700000000001</v>
      </c>
      <c r="N904" s="9">
        <v>4.9444999999999997</v>
      </c>
      <c r="O904" s="9">
        <v>0.37459999999999999</v>
      </c>
      <c r="P904" s="9">
        <v>1.2939000000000001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39.3793 * CHOOSE(CONTROL!$C$15, $D$11, 100%, $F$11)</f>
        <v>39.379300000000001</v>
      </c>
      <c r="C905" s="8">
        <f>39.3897 * CHOOSE(CONTROL!$C$15, $D$11, 100%, $F$11)</f>
        <v>39.389699999999998</v>
      </c>
      <c r="D905" s="8">
        <f>39.3891 * CHOOSE( CONTROL!$C$15, $D$11, 100%, $F$11)</f>
        <v>39.389099999999999</v>
      </c>
      <c r="E905" s="12">
        <f>39.3882 * CHOOSE( CONTROL!$C$15, $D$11, 100%, $F$11)</f>
        <v>39.388199999999998</v>
      </c>
      <c r="F905" s="4">
        <f>40.4022 * CHOOSE(CONTROL!$C$15, $D$11, 100%, $F$11)</f>
        <v>40.402200000000001</v>
      </c>
      <c r="G905" s="8">
        <f>38.4144 * CHOOSE( CONTROL!$C$15, $D$11, 100%, $F$11)</f>
        <v>38.414400000000001</v>
      </c>
      <c r="H905" s="4">
        <f>39.3067 * CHOOSE(CONTROL!$C$15, $D$11, 100%, $F$11)</f>
        <v>39.306699999999999</v>
      </c>
      <c r="I905" s="8">
        <f>37.856 * CHOOSE(CONTROL!$C$15, $D$11, 100%, $F$11)</f>
        <v>37.856000000000002</v>
      </c>
      <c r="J905" s="4">
        <f>37.7285 * CHOOSE(CONTROL!$C$15, $D$11, 100%, $F$11)</f>
        <v>37.728499999999997</v>
      </c>
      <c r="K905" s="4"/>
      <c r="L905" s="9">
        <v>27.3993</v>
      </c>
      <c r="M905" s="9">
        <v>12.063700000000001</v>
      </c>
      <c r="N905" s="9">
        <v>4.9444999999999997</v>
      </c>
      <c r="O905" s="9">
        <v>0.37459999999999999</v>
      </c>
      <c r="P905" s="9">
        <v>1.2939000000000001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36.8338 * CHOOSE(CONTROL!$C$15, $D$11, 100%, $F$11)</f>
        <v>36.833799999999997</v>
      </c>
      <c r="C906" s="8">
        <f>36.8443 * CHOOSE(CONTROL!$C$15, $D$11, 100%, $F$11)</f>
        <v>36.844299999999997</v>
      </c>
      <c r="D906" s="8">
        <f>36.8458 * CHOOSE( CONTROL!$C$15, $D$11, 100%, $F$11)</f>
        <v>36.845799999999997</v>
      </c>
      <c r="E906" s="12">
        <f>36.8441 * CHOOSE( CONTROL!$C$15, $D$11, 100%, $F$11)</f>
        <v>36.844099999999997</v>
      </c>
      <c r="F906" s="4">
        <f>37.8489 * CHOOSE(CONTROL!$C$15, $D$11, 100%, $F$11)</f>
        <v>37.8489</v>
      </c>
      <c r="G906" s="8">
        <f>35.9329 * CHOOSE( CONTROL!$C$15, $D$11, 100%, $F$11)</f>
        <v>35.932899999999997</v>
      </c>
      <c r="H906" s="4">
        <f>36.8178 * CHOOSE(CONTROL!$C$15, $D$11, 100%, $F$11)</f>
        <v>36.817799999999998</v>
      </c>
      <c r="I906" s="8">
        <f>35.4047 * CHOOSE(CONTROL!$C$15, $D$11, 100%, $F$11)</f>
        <v>35.404699999999998</v>
      </c>
      <c r="J906" s="4">
        <f>35.2894 * CHOOSE(CONTROL!$C$15, $D$11, 100%, $F$11)</f>
        <v>35.289400000000001</v>
      </c>
      <c r="K906" s="4"/>
      <c r="L906" s="9">
        <v>24.747800000000002</v>
      </c>
      <c r="M906" s="9">
        <v>10.8962</v>
      </c>
      <c r="N906" s="9">
        <v>4.4660000000000002</v>
      </c>
      <c r="O906" s="9">
        <v>0.33829999999999999</v>
      </c>
      <c r="P906" s="9">
        <v>1.1687000000000001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36.0498 * CHOOSE(CONTROL!$C$15, $D$11, 100%, $F$11)</f>
        <v>36.049799999999998</v>
      </c>
      <c r="C907" s="8">
        <f>36.0603 * CHOOSE(CONTROL!$C$15, $D$11, 100%, $F$11)</f>
        <v>36.060299999999998</v>
      </c>
      <c r="D907" s="8">
        <f>36.0413 * CHOOSE( CONTROL!$C$15, $D$11, 100%, $F$11)</f>
        <v>36.0413</v>
      </c>
      <c r="E907" s="12">
        <f>36.0471 * CHOOSE( CONTROL!$C$15, $D$11, 100%, $F$11)</f>
        <v>36.0471</v>
      </c>
      <c r="F907" s="4">
        <f>37.0487 * CHOOSE(CONTROL!$C$15, $D$11, 100%, $F$11)</f>
        <v>37.048699999999997</v>
      </c>
      <c r="G907" s="8">
        <f>35.1479 * CHOOSE( CONTROL!$C$15, $D$11, 100%, $F$11)</f>
        <v>35.1479</v>
      </c>
      <c r="H907" s="4">
        <f>36.0378 * CHOOSE(CONTROL!$C$15, $D$11, 100%, $F$11)</f>
        <v>36.037799999999997</v>
      </c>
      <c r="I907" s="8">
        <f>34.6136 * CHOOSE(CONTROL!$C$15, $D$11, 100%, $F$11)</f>
        <v>34.613599999999998</v>
      </c>
      <c r="J907" s="4">
        <f>34.5382 * CHOOSE(CONTROL!$C$15, $D$11, 100%, $F$11)</f>
        <v>34.538200000000003</v>
      </c>
      <c r="K907" s="4"/>
      <c r="L907" s="9">
        <v>27.3993</v>
      </c>
      <c r="M907" s="9">
        <v>12.063700000000001</v>
      </c>
      <c r="N907" s="9">
        <v>4.9444999999999997</v>
      </c>
      <c r="O907" s="9">
        <v>0.37459999999999999</v>
      </c>
      <c r="P907" s="9">
        <v>1.2939000000000001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36.5977 * CHOOSE(CONTROL!$C$15, $D$11, 100%, $F$11)</f>
        <v>36.597700000000003</v>
      </c>
      <c r="C908" s="8">
        <f>36.6081 * CHOOSE(CONTROL!$C$15, $D$11, 100%, $F$11)</f>
        <v>36.6081</v>
      </c>
      <c r="D908" s="8">
        <f>36.6121 * CHOOSE( CONTROL!$C$15, $D$11, 100%, $F$11)</f>
        <v>36.612099999999998</v>
      </c>
      <c r="E908" s="12">
        <f>36.6096 * CHOOSE( CONTROL!$C$15, $D$11, 100%, $F$11)</f>
        <v>36.6096</v>
      </c>
      <c r="F908" s="4">
        <f>37.6049 * CHOOSE(CONTROL!$C$15, $D$11, 100%, $F$11)</f>
        <v>37.604900000000001</v>
      </c>
      <c r="G908" s="8">
        <f>35.6703 * CHOOSE( CONTROL!$C$15, $D$11, 100%, $F$11)</f>
        <v>35.670299999999997</v>
      </c>
      <c r="H908" s="4">
        <f>36.5799 * CHOOSE(CONTROL!$C$15, $D$11, 100%, $F$11)</f>
        <v>36.579900000000002</v>
      </c>
      <c r="I908" s="8">
        <f>35.1289 * CHOOSE(CONTROL!$C$15, $D$11, 100%, $F$11)</f>
        <v>35.128900000000002</v>
      </c>
      <c r="J908" s="4">
        <f>35.0631 * CHOOSE(CONTROL!$C$15, $D$11, 100%, $F$11)</f>
        <v>35.063099999999999</v>
      </c>
      <c r="K908" s="4"/>
      <c r="L908" s="9">
        <v>27.988800000000001</v>
      </c>
      <c r="M908" s="9">
        <v>11.6745</v>
      </c>
      <c r="N908" s="9">
        <v>4.7850000000000001</v>
      </c>
      <c r="O908" s="9">
        <v>0.36249999999999999</v>
      </c>
      <c r="P908" s="9">
        <v>1.1798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CONTROL!$C$32, 37.578, 37.5727) * CHOOSE(CONTROL!$C$15, $D$11, 100%, $F$11)</f>
        <v>37.578000000000003</v>
      </c>
      <c r="C909" s="8">
        <f>CHOOSE( CONTROL!$C$32, 37.5884, 37.5831) * CHOOSE(CONTROL!$C$15, $D$11, 100%, $F$11)</f>
        <v>37.5884</v>
      </c>
      <c r="D909" s="8">
        <f>CHOOSE( CONTROL!$C$32, 37.6012, 37.596) * CHOOSE( CONTROL!$C$15, $D$11, 100%, $F$11)</f>
        <v>37.601199999999999</v>
      </c>
      <c r="E909" s="12">
        <f>CHOOSE( CONTROL!$C$32, 37.595, 37.5897) * CHOOSE( CONTROL!$C$15, $D$11, 100%, $F$11)</f>
        <v>37.594999999999999</v>
      </c>
      <c r="F909" s="4">
        <f>CHOOSE( CONTROL!$C$32, 38.6009, 38.5956) * CHOOSE(CONTROL!$C$15, $D$11, 100%, $F$11)</f>
        <v>38.600900000000003</v>
      </c>
      <c r="G909" s="8">
        <f>CHOOSE( CONTROL!$C$32, 36.6315, 36.6264) * CHOOSE( CONTROL!$C$15, $D$11, 100%, $F$11)</f>
        <v>36.631500000000003</v>
      </c>
      <c r="H909" s="4">
        <f>CHOOSE( CONTROL!$C$32, 37.5508, 37.5456) * CHOOSE(CONTROL!$C$15, $D$11, 100%, $F$11)</f>
        <v>37.550800000000002</v>
      </c>
      <c r="I909" s="8">
        <f>CHOOSE( CONTROL!$C$32, 36.074, 36.069) * CHOOSE(CONTROL!$C$15, $D$11, 100%, $F$11)</f>
        <v>36.073999999999998</v>
      </c>
      <c r="J909" s="4">
        <f>CHOOSE( CONTROL!$C$32, 36.0024, 35.9974) * CHOOSE(CONTROL!$C$15, $D$11, 100%, $F$11)</f>
        <v>36.002400000000002</v>
      </c>
      <c r="K909" s="4"/>
      <c r="L909" s="9">
        <v>29.520499999999998</v>
      </c>
      <c r="M909" s="9">
        <v>12.063700000000001</v>
      </c>
      <c r="N909" s="9">
        <v>4.9444999999999997</v>
      </c>
      <c r="O909" s="9">
        <v>0.37459999999999999</v>
      </c>
      <c r="P909" s="9">
        <v>1.2192000000000001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CONTROL!$C$32, 36.974, 36.9687) * CHOOSE(CONTROL!$C$15, $D$11, 100%, $F$11)</f>
        <v>36.973999999999997</v>
      </c>
      <c r="C910" s="8">
        <f>CHOOSE( CONTROL!$C$32, 36.9844, 36.9791) * CHOOSE(CONTROL!$C$15, $D$11, 100%, $F$11)</f>
        <v>36.984400000000001</v>
      </c>
      <c r="D910" s="8">
        <f>CHOOSE( CONTROL!$C$32, 37.0048, 36.9996) * CHOOSE( CONTROL!$C$15, $D$11, 100%, $F$11)</f>
        <v>37.004800000000003</v>
      </c>
      <c r="E910" s="12">
        <f>CHOOSE( CONTROL!$C$32, 36.9958, 36.9906) * CHOOSE( CONTROL!$C$15, $D$11, 100%, $F$11)</f>
        <v>36.995800000000003</v>
      </c>
      <c r="F910" s="4">
        <f>CHOOSE( CONTROL!$C$32, 38.0094, 38.0041) * CHOOSE(CONTROL!$C$15, $D$11, 100%, $F$11)</f>
        <v>38.009399999999999</v>
      </c>
      <c r="G910" s="8">
        <f>CHOOSE( CONTROL!$C$32, 36.0466, 36.0415) * CHOOSE( CONTROL!$C$15, $D$11, 100%, $F$11)</f>
        <v>36.046599999999998</v>
      </c>
      <c r="H910" s="4">
        <f>CHOOSE( CONTROL!$C$32, 36.9742, 36.9691) * CHOOSE(CONTROL!$C$15, $D$11, 100%, $F$11)</f>
        <v>36.974200000000003</v>
      </c>
      <c r="I910" s="8">
        <f>CHOOSE( CONTROL!$C$32, 35.5002, 35.4951) * CHOOSE(CONTROL!$C$15, $D$11, 100%, $F$11)</f>
        <v>35.5002</v>
      </c>
      <c r="J910" s="4">
        <f>CHOOSE( CONTROL!$C$32, 35.4237, 35.4187) * CHOOSE(CONTROL!$C$15, $D$11, 100%, $F$11)</f>
        <v>35.423699999999997</v>
      </c>
      <c r="K910" s="4"/>
      <c r="L910" s="9">
        <v>28.568200000000001</v>
      </c>
      <c r="M910" s="9">
        <v>11.6745</v>
      </c>
      <c r="N910" s="9">
        <v>4.7850000000000001</v>
      </c>
      <c r="O910" s="9">
        <v>0.36249999999999999</v>
      </c>
      <c r="P910" s="9">
        <v>1.1798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CONTROL!$C$32, 38.5645, 38.5593) * CHOOSE(CONTROL!$C$15, $D$11, 100%, $F$11)</f>
        <v>38.564500000000002</v>
      </c>
      <c r="C911" s="8">
        <f>CHOOSE( CONTROL!$C$32, 38.575, 38.5697) * CHOOSE(CONTROL!$C$15, $D$11, 100%, $F$11)</f>
        <v>38.575000000000003</v>
      </c>
      <c r="D911" s="8">
        <f>CHOOSE( CONTROL!$C$32, 38.5856, 38.5803) * CHOOSE( CONTROL!$C$15, $D$11, 100%, $F$11)</f>
        <v>38.585599999999999</v>
      </c>
      <c r="E911" s="12">
        <f>CHOOSE( CONTROL!$C$32, 38.5802, 38.5749) * CHOOSE( CONTROL!$C$15, $D$11, 100%, $F$11)</f>
        <v>38.580199999999998</v>
      </c>
      <c r="F911" s="4">
        <f>CHOOSE( CONTROL!$C$32, 39.6, 39.5947) * CHOOSE(CONTROL!$C$15, $D$11, 100%, $F$11)</f>
        <v>39.6</v>
      </c>
      <c r="G911" s="8">
        <f>CHOOSE( CONTROL!$C$32, 37.5838, 37.5787) * CHOOSE( CONTROL!$C$15, $D$11, 100%, $F$11)</f>
        <v>37.583799999999997</v>
      </c>
      <c r="H911" s="4">
        <f>CHOOSE( CONTROL!$C$32, 38.5246, 38.5195) * CHOOSE(CONTROL!$C$15, $D$11, 100%, $F$11)</f>
        <v>38.5246</v>
      </c>
      <c r="I911" s="8">
        <f>CHOOSE( CONTROL!$C$32, 37.0284, 37.0234) * CHOOSE(CONTROL!$C$15, $D$11, 100%, $F$11)</f>
        <v>37.028399999999998</v>
      </c>
      <c r="J911" s="4">
        <f>CHOOSE( CONTROL!$C$32, 36.9478, 36.9427) * CHOOSE(CONTROL!$C$15, $D$11, 100%, $F$11)</f>
        <v>36.947800000000001</v>
      </c>
      <c r="K911" s="4"/>
      <c r="L911" s="9">
        <v>29.520499999999998</v>
      </c>
      <c r="M911" s="9">
        <v>12.063700000000001</v>
      </c>
      <c r="N911" s="9">
        <v>4.9444999999999997</v>
      </c>
      <c r="O911" s="9">
        <v>0.37459999999999999</v>
      </c>
      <c r="P911" s="9">
        <v>1.2192000000000001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CONTROL!$C$32, 35.5884, 35.5832) * CHOOSE(CONTROL!$C$15, $D$11, 100%, $F$11)</f>
        <v>35.5884</v>
      </c>
      <c r="C912" s="8">
        <f>CHOOSE( CONTROL!$C$32, 35.5988, 35.5936) * CHOOSE(CONTROL!$C$15, $D$11, 100%, $F$11)</f>
        <v>35.598799999999997</v>
      </c>
      <c r="D912" s="8">
        <f>CHOOSE( CONTROL!$C$32, 35.6098, 35.6045) * CHOOSE( CONTROL!$C$15, $D$11, 100%, $F$11)</f>
        <v>35.6098</v>
      </c>
      <c r="E912" s="12">
        <f>CHOOSE( CONTROL!$C$32, 35.6042, 35.599) * CHOOSE( CONTROL!$C$15, $D$11, 100%, $F$11)</f>
        <v>35.604199999999999</v>
      </c>
      <c r="F912" s="4">
        <f>CHOOSE( CONTROL!$C$32, 36.6238, 36.6186) * CHOOSE(CONTROL!$C$15, $D$11, 100%, $F$11)</f>
        <v>36.623800000000003</v>
      </c>
      <c r="G912" s="8">
        <f>CHOOSE( CONTROL!$C$32, 34.6833, 34.6781) * CHOOSE( CONTROL!$C$15, $D$11, 100%, $F$11)</f>
        <v>34.683300000000003</v>
      </c>
      <c r="H912" s="4">
        <f>CHOOSE( CONTROL!$C$32, 35.6236, 35.6185) * CHOOSE(CONTROL!$C$15, $D$11, 100%, $F$11)</f>
        <v>35.623600000000003</v>
      </c>
      <c r="I912" s="8">
        <f>CHOOSE( CONTROL!$C$32, 34.1769, 34.1718) * CHOOSE(CONTROL!$C$15, $D$11, 100%, $F$11)</f>
        <v>34.176900000000003</v>
      </c>
      <c r="J912" s="4">
        <f>CHOOSE( CONTROL!$C$32, 34.0961, 34.091) * CHOOSE(CONTROL!$C$15, $D$11, 100%, $F$11)</f>
        <v>34.0961</v>
      </c>
      <c r="K912" s="4"/>
      <c r="L912" s="9">
        <v>29.520499999999998</v>
      </c>
      <c r="M912" s="9">
        <v>12.063700000000001</v>
      </c>
      <c r="N912" s="9">
        <v>4.9444999999999997</v>
      </c>
      <c r="O912" s="9">
        <v>0.37459999999999999</v>
      </c>
      <c r="P912" s="9">
        <v>1.2192000000000001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CONTROL!$C$32, 34.8432, 34.8379) * CHOOSE(CONTROL!$C$15, $D$11, 100%, $F$11)</f>
        <v>34.843200000000003</v>
      </c>
      <c r="C913" s="8">
        <f>CHOOSE( CONTROL!$C$32, 34.8536, 34.8483) * CHOOSE(CONTROL!$C$15, $D$11, 100%, $F$11)</f>
        <v>34.8536</v>
      </c>
      <c r="D913" s="8">
        <f>CHOOSE( CONTROL!$C$32, 34.8647, 34.8594) * CHOOSE( CONTROL!$C$15, $D$11, 100%, $F$11)</f>
        <v>34.864699999999999</v>
      </c>
      <c r="E913" s="12">
        <f>CHOOSE( CONTROL!$C$32, 34.8591, 34.8538) * CHOOSE( CONTROL!$C$15, $D$11, 100%, $F$11)</f>
        <v>34.859099999999998</v>
      </c>
      <c r="F913" s="4">
        <f>CHOOSE( CONTROL!$C$32, 35.8786, 35.8733) * CHOOSE(CONTROL!$C$15, $D$11, 100%, $F$11)</f>
        <v>35.878599999999999</v>
      </c>
      <c r="G913" s="8">
        <f>CHOOSE( CONTROL!$C$32, 33.957, 33.9519) * CHOOSE( CONTROL!$C$15, $D$11, 100%, $F$11)</f>
        <v>33.957000000000001</v>
      </c>
      <c r="H913" s="4">
        <f>CHOOSE( CONTROL!$C$32, 34.8972, 34.892) * CHOOSE(CONTROL!$C$15, $D$11, 100%, $F$11)</f>
        <v>34.897199999999998</v>
      </c>
      <c r="I913" s="8">
        <f>CHOOSE( CONTROL!$C$32, 33.4631, 33.4581) * CHOOSE(CONTROL!$C$15, $D$11, 100%, $F$11)</f>
        <v>33.463099999999997</v>
      </c>
      <c r="J913" s="4">
        <f>CHOOSE( CONTROL!$C$32, 33.382, 33.3769) * CHOOSE(CONTROL!$C$15, $D$11, 100%, $F$11)</f>
        <v>33.381999999999998</v>
      </c>
      <c r="K913" s="4"/>
      <c r="L913" s="9">
        <v>28.568200000000001</v>
      </c>
      <c r="M913" s="9">
        <v>11.6745</v>
      </c>
      <c r="N913" s="9">
        <v>4.7850000000000001</v>
      </c>
      <c r="O913" s="9">
        <v>0.36249999999999999</v>
      </c>
      <c r="P913" s="9">
        <v>1.1798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36.3853 * CHOOSE(CONTROL!$C$15, $D$11, 100%, $F$11)</f>
        <v>36.385300000000001</v>
      </c>
      <c r="C914" s="8">
        <f>36.3957 * CHOOSE(CONTROL!$C$15, $D$11, 100%, $F$11)</f>
        <v>36.395699999999998</v>
      </c>
      <c r="D914" s="8">
        <f>36.4081 * CHOOSE( CONTROL!$C$15, $D$11, 100%, $F$11)</f>
        <v>36.408099999999997</v>
      </c>
      <c r="E914" s="12">
        <f>36.4029 * CHOOSE( CONTROL!$C$15, $D$11, 100%, $F$11)</f>
        <v>36.402900000000002</v>
      </c>
      <c r="F914" s="4">
        <f>37.4207 * CHOOSE(CONTROL!$C$15, $D$11, 100%, $F$11)</f>
        <v>37.420699999999997</v>
      </c>
      <c r="G914" s="8">
        <f>35.4596 * CHOOSE( CONTROL!$C$15, $D$11, 100%, $F$11)</f>
        <v>35.459600000000002</v>
      </c>
      <c r="H914" s="4">
        <f>36.4004 * CHOOSE(CONTROL!$C$15, $D$11, 100%, $F$11)</f>
        <v>36.400399999999998</v>
      </c>
      <c r="I914" s="8">
        <f>34.9429 * CHOOSE(CONTROL!$C$15, $D$11, 100%, $F$11)</f>
        <v>34.942900000000002</v>
      </c>
      <c r="J914" s="4">
        <f>34.8596 * CHOOSE(CONTROL!$C$15, $D$11, 100%, $F$11)</f>
        <v>34.8596</v>
      </c>
      <c r="K914" s="4"/>
      <c r="L914" s="9">
        <v>28.921800000000001</v>
      </c>
      <c r="M914" s="9">
        <v>12.063700000000001</v>
      </c>
      <c r="N914" s="9">
        <v>4.9444999999999997</v>
      </c>
      <c r="O914" s="9">
        <v>0.37459999999999999</v>
      </c>
      <c r="P914" s="9">
        <v>1.2192000000000001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39.2415 * CHOOSE(CONTROL!$C$15, $D$11, 100%, $F$11)</f>
        <v>39.241500000000002</v>
      </c>
      <c r="C915" s="8">
        <f>39.2519 * CHOOSE(CONTROL!$C$15, $D$11, 100%, $F$11)</f>
        <v>39.251899999999999</v>
      </c>
      <c r="D915" s="8">
        <f>39.2357 * CHOOSE( CONTROL!$C$15, $D$11, 100%, $F$11)</f>
        <v>39.235700000000001</v>
      </c>
      <c r="E915" s="12">
        <f>39.2405 * CHOOSE( CONTROL!$C$15, $D$11, 100%, $F$11)</f>
        <v>39.240499999999997</v>
      </c>
      <c r="F915" s="4">
        <f>40.2357 * CHOOSE(CONTROL!$C$15, $D$11, 100%, $F$11)</f>
        <v>40.235700000000001</v>
      </c>
      <c r="G915" s="8">
        <f>38.2647 * CHOOSE( CONTROL!$C$15, $D$11, 100%, $F$11)</f>
        <v>38.264699999999998</v>
      </c>
      <c r="H915" s="4">
        <f>39.1444 * CHOOSE(CONTROL!$C$15, $D$11, 100%, $F$11)</f>
        <v>39.144399999999997</v>
      </c>
      <c r="I915" s="8">
        <f>37.718 * CHOOSE(CONTROL!$C$15, $D$11, 100%, $F$11)</f>
        <v>37.718000000000004</v>
      </c>
      <c r="J915" s="4">
        <f>37.5964 * CHOOSE(CONTROL!$C$15, $D$11, 100%, $F$11)</f>
        <v>37.596400000000003</v>
      </c>
      <c r="K915" s="4"/>
      <c r="L915" s="9">
        <v>26.515499999999999</v>
      </c>
      <c r="M915" s="9">
        <v>11.6745</v>
      </c>
      <c r="N915" s="9">
        <v>4.7850000000000001</v>
      </c>
      <c r="O915" s="9">
        <v>0.36249999999999999</v>
      </c>
      <c r="P915" s="9">
        <v>1.2522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39.1701 * CHOOSE(CONTROL!$C$15, $D$11, 100%, $F$11)</f>
        <v>39.170099999999998</v>
      </c>
      <c r="C916" s="8">
        <f>39.1806 * CHOOSE(CONTROL!$C$15, $D$11, 100%, $F$11)</f>
        <v>39.180599999999998</v>
      </c>
      <c r="D916" s="8">
        <f>39.1666 * CHOOSE( CONTROL!$C$15, $D$11, 100%, $F$11)</f>
        <v>39.166600000000003</v>
      </c>
      <c r="E916" s="12">
        <f>39.1706 * CHOOSE( CONTROL!$C$15, $D$11, 100%, $F$11)</f>
        <v>39.1706</v>
      </c>
      <c r="F916" s="4">
        <f>40.1643 * CHOOSE(CONTROL!$C$15, $D$11, 100%, $F$11)</f>
        <v>40.164299999999997</v>
      </c>
      <c r="G916" s="8">
        <f>38.1969 * CHOOSE( CONTROL!$C$15, $D$11, 100%, $F$11)</f>
        <v>38.196899999999999</v>
      </c>
      <c r="H916" s="4">
        <f>39.0748 * CHOOSE(CONTROL!$C$15, $D$11, 100%, $F$11)</f>
        <v>39.074800000000003</v>
      </c>
      <c r="I916" s="8">
        <f>37.6571 * CHOOSE(CONTROL!$C$15, $D$11, 100%, $F$11)</f>
        <v>37.6571</v>
      </c>
      <c r="J916" s="4">
        <f>37.5281 * CHOOSE(CONTROL!$C$15, $D$11, 100%, $F$11)</f>
        <v>37.528100000000002</v>
      </c>
      <c r="K916" s="4"/>
      <c r="L916" s="9">
        <v>27.3993</v>
      </c>
      <c r="M916" s="9">
        <v>12.063700000000001</v>
      </c>
      <c r="N916" s="9">
        <v>4.9444999999999997</v>
      </c>
      <c r="O916" s="9">
        <v>0.37459999999999999</v>
      </c>
      <c r="P916" s="9">
        <v>1.2939000000000001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40.667 * CHOOSE(CONTROL!$C$15, $D$11, 100%, $F$11)</f>
        <v>40.667000000000002</v>
      </c>
      <c r="C917" s="8">
        <f>40.6774 * CHOOSE(CONTROL!$C$15, $D$11, 100%, $F$11)</f>
        <v>40.677399999999999</v>
      </c>
      <c r="D917" s="8">
        <f>40.6768 * CHOOSE( CONTROL!$C$15, $D$11, 100%, $F$11)</f>
        <v>40.6768</v>
      </c>
      <c r="E917" s="12">
        <f>40.6759 * CHOOSE( CONTROL!$C$15, $D$11, 100%, $F$11)</f>
        <v>40.675899999999999</v>
      </c>
      <c r="F917" s="4">
        <f>41.6899 * CHOOSE(CONTROL!$C$15, $D$11, 100%, $F$11)</f>
        <v>41.689900000000002</v>
      </c>
      <c r="G917" s="8">
        <f>39.6696 * CHOOSE( CONTROL!$C$15, $D$11, 100%, $F$11)</f>
        <v>39.669600000000003</v>
      </c>
      <c r="H917" s="4">
        <f>40.5619 * CHOOSE(CONTROL!$C$15, $D$11, 100%, $F$11)</f>
        <v>40.561900000000001</v>
      </c>
      <c r="I917" s="8">
        <f>39.0904 * CHOOSE(CONTROL!$C$15, $D$11, 100%, $F$11)</f>
        <v>39.090400000000002</v>
      </c>
      <c r="J917" s="4">
        <f>38.9624 * CHOOSE(CONTROL!$C$15, $D$11, 100%, $F$11)</f>
        <v>38.962400000000002</v>
      </c>
      <c r="K917" s="4"/>
      <c r="L917" s="9">
        <v>27.3993</v>
      </c>
      <c r="M917" s="9">
        <v>12.063700000000001</v>
      </c>
      <c r="N917" s="9">
        <v>4.9444999999999997</v>
      </c>
      <c r="O917" s="9">
        <v>0.37459999999999999</v>
      </c>
      <c r="P917" s="9">
        <v>1.2939000000000001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38.0383 * CHOOSE(CONTROL!$C$15, $D$11, 100%, $F$11)</f>
        <v>38.0383</v>
      </c>
      <c r="C918" s="8">
        <f>38.0487 * CHOOSE(CONTROL!$C$15, $D$11, 100%, $F$11)</f>
        <v>38.048699999999997</v>
      </c>
      <c r="D918" s="8">
        <f>38.0502 * CHOOSE( CONTROL!$C$15, $D$11, 100%, $F$11)</f>
        <v>38.050199999999997</v>
      </c>
      <c r="E918" s="12">
        <f>38.0485 * CHOOSE( CONTROL!$C$15, $D$11, 100%, $F$11)</f>
        <v>38.048499999999997</v>
      </c>
      <c r="F918" s="4">
        <f>39.0533 * CHOOSE(CONTROL!$C$15, $D$11, 100%, $F$11)</f>
        <v>39.0533</v>
      </c>
      <c r="G918" s="8">
        <f>37.1069 * CHOOSE( CONTROL!$C$15, $D$11, 100%, $F$11)</f>
        <v>37.106900000000003</v>
      </c>
      <c r="H918" s="4">
        <f>37.9918 * CHOOSE(CONTROL!$C$15, $D$11, 100%, $F$11)</f>
        <v>37.991799999999998</v>
      </c>
      <c r="I918" s="8">
        <f>36.5594 * CHOOSE(CONTROL!$C$15, $D$11, 100%, $F$11)</f>
        <v>36.559399999999997</v>
      </c>
      <c r="J918" s="4">
        <f>36.4435 * CHOOSE(CONTROL!$C$15, $D$11, 100%, $F$11)</f>
        <v>36.4435</v>
      </c>
      <c r="K918" s="4"/>
      <c r="L918" s="9">
        <v>24.747800000000002</v>
      </c>
      <c r="M918" s="9">
        <v>10.8962</v>
      </c>
      <c r="N918" s="9">
        <v>4.4660000000000002</v>
      </c>
      <c r="O918" s="9">
        <v>0.33829999999999999</v>
      </c>
      <c r="P918" s="9">
        <v>1.1687000000000001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37.2286 * CHOOSE(CONTROL!$C$15, $D$11, 100%, $F$11)</f>
        <v>37.2286</v>
      </c>
      <c r="C919" s="8">
        <f>37.2391 * CHOOSE(CONTROL!$C$15, $D$11, 100%, $F$11)</f>
        <v>37.239100000000001</v>
      </c>
      <c r="D919" s="8">
        <f>37.2201 * CHOOSE( CONTROL!$C$15, $D$11, 100%, $F$11)</f>
        <v>37.220100000000002</v>
      </c>
      <c r="E919" s="12">
        <f>37.2259 * CHOOSE( CONTROL!$C$15, $D$11, 100%, $F$11)</f>
        <v>37.225900000000003</v>
      </c>
      <c r="F919" s="4">
        <f>38.2275 * CHOOSE(CONTROL!$C$15, $D$11, 100%, $F$11)</f>
        <v>38.227499999999999</v>
      </c>
      <c r="G919" s="8">
        <f>36.297 * CHOOSE( CONTROL!$C$15, $D$11, 100%, $F$11)</f>
        <v>36.296999999999997</v>
      </c>
      <c r="H919" s="4">
        <f>37.1869 * CHOOSE(CONTROL!$C$15, $D$11, 100%, $F$11)</f>
        <v>37.186900000000001</v>
      </c>
      <c r="I919" s="8">
        <f>35.7437 * CHOOSE(CONTROL!$C$15, $D$11, 100%, $F$11)</f>
        <v>35.743699999999997</v>
      </c>
      <c r="J919" s="4">
        <f>35.6677 * CHOOSE(CONTROL!$C$15, $D$11, 100%, $F$11)</f>
        <v>35.667700000000004</v>
      </c>
      <c r="K919" s="4"/>
      <c r="L919" s="9">
        <v>27.3993</v>
      </c>
      <c r="M919" s="9">
        <v>12.063700000000001</v>
      </c>
      <c r="N919" s="9">
        <v>4.9444999999999997</v>
      </c>
      <c r="O919" s="9">
        <v>0.37459999999999999</v>
      </c>
      <c r="P919" s="9">
        <v>1.2939000000000001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37.7944 * CHOOSE(CONTROL!$C$15, $D$11, 100%, $F$11)</f>
        <v>37.794400000000003</v>
      </c>
      <c r="C920" s="8">
        <f>37.8048 * CHOOSE(CONTROL!$C$15, $D$11, 100%, $F$11)</f>
        <v>37.8048</v>
      </c>
      <c r="D920" s="8">
        <f>37.8088 * CHOOSE( CONTROL!$C$15, $D$11, 100%, $F$11)</f>
        <v>37.808799999999998</v>
      </c>
      <c r="E920" s="12">
        <f>37.8063 * CHOOSE( CONTROL!$C$15, $D$11, 100%, $F$11)</f>
        <v>37.8063</v>
      </c>
      <c r="F920" s="4">
        <f>38.8016 * CHOOSE(CONTROL!$C$15, $D$11, 100%, $F$11)</f>
        <v>38.801600000000001</v>
      </c>
      <c r="G920" s="8">
        <f>36.8369 * CHOOSE( CONTROL!$C$15, $D$11, 100%, $F$11)</f>
        <v>36.8369</v>
      </c>
      <c r="H920" s="4">
        <f>37.7465 * CHOOSE(CONTROL!$C$15, $D$11, 100%, $F$11)</f>
        <v>37.746499999999997</v>
      </c>
      <c r="I920" s="8">
        <f>36.2762 * CHOOSE(CONTROL!$C$15, $D$11, 100%, $F$11)</f>
        <v>36.276200000000003</v>
      </c>
      <c r="J920" s="4">
        <f>36.2098 * CHOOSE(CONTROL!$C$15, $D$11, 100%, $F$11)</f>
        <v>36.209800000000001</v>
      </c>
      <c r="K920" s="4"/>
      <c r="L920" s="9">
        <v>27.988800000000001</v>
      </c>
      <c r="M920" s="9">
        <v>11.6745</v>
      </c>
      <c r="N920" s="9">
        <v>4.7850000000000001</v>
      </c>
      <c r="O920" s="9">
        <v>0.36249999999999999</v>
      </c>
      <c r="P920" s="9">
        <v>1.1798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CONTROL!$C$32, 38.8066, 38.8013) * CHOOSE(CONTROL!$C$15, $D$11, 100%, $F$11)</f>
        <v>38.806600000000003</v>
      </c>
      <c r="C921" s="8">
        <f>CHOOSE( CONTROL!$C$32, 38.817, 38.8117) * CHOOSE(CONTROL!$C$15, $D$11, 100%, $F$11)</f>
        <v>38.817</v>
      </c>
      <c r="D921" s="8">
        <f>CHOOSE( CONTROL!$C$32, 38.8298, 38.8246) * CHOOSE( CONTROL!$C$15, $D$11, 100%, $F$11)</f>
        <v>38.829799999999999</v>
      </c>
      <c r="E921" s="12">
        <f>CHOOSE( CONTROL!$C$32, 38.8236, 38.8183) * CHOOSE( CONTROL!$C$15, $D$11, 100%, $F$11)</f>
        <v>38.823599999999999</v>
      </c>
      <c r="F921" s="4">
        <f>CHOOSE( CONTROL!$C$32, 39.8295, 39.8242) * CHOOSE(CONTROL!$C$15, $D$11, 100%, $F$11)</f>
        <v>39.829500000000003</v>
      </c>
      <c r="G921" s="8">
        <f>CHOOSE( CONTROL!$C$32, 37.8291, 37.824) * CHOOSE( CONTROL!$C$15, $D$11, 100%, $F$11)</f>
        <v>37.829099999999997</v>
      </c>
      <c r="H921" s="4">
        <f>CHOOSE( CONTROL!$C$32, 38.7484, 38.7433) * CHOOSE(CONTROL!$C$15, $D$11, 100%, $F$11)</f>
        <v>38.748399999999997</v>
      </c>
      <c r="I921" s="8">
        <f>CHOOSE( CONTROL!$C$32, 37.2518, 37.2468) * CHOOSE(CONTROL!$C$15, $D$11, 100%, $F$11)</f>
        <v>37.251800000000003</v>
      </c>
      <c r="J921" s="4">
        <f>CHOOSE( CONTROL!$C$32, 37.1797, 37.1747) * CHOOSE(CONTROL!$C$15, $D$11, 100%, $F$11)</f>
        <v>37.179699999999997</v>
      </c>
      <c r="K921" s="4"/>
      <c r="L921" s="9">
        <v>29.520499999999998</v>
      </c>
      <c r="M921" s="9">
        <v>12.063700000000001</v>
      </c>
      <c r="N921" s="9">
        <v>4.9444999999999997</v>
      </c>
      <c r="O921" s="9">
        <v>0.37459999999999999</v>
      </c>
      <c r="P921" s="9">
        <v>1.2192000000000001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CONTROL!$C$32, 38.1828, 38.1776) * CHOOSE(CONTROL!$C$15, $D$11, 100%, $F$11)</f>
        <v>38.1828</v>
      </c>
      <c r="C922" s="8">
        <f>CHOOSE( CONTROL!$C$32, 38.1932, 38.188) * CHOOSE(CONTROL!$C$15, $D$11, 100%, $F$11)</f>
        <v>38.193199999999997</v>
      </c>
      <c r="D922" s="8">
        <f>CHOOSE( CONTROL!$C$32, 38.2137, 38.2084) * CHOOSE( CONTROL!$C$15, $D$11, 100%, $F$11)</f>
        <v>38.213700000000003</v>
      </c>
      <c r="E922" s="12">
        <f>CHOOSE( CONTROL!$C$32, 38.2047, 38.1994) * CHOOSE( CONTROL!$C$15, $D$11, 100%, $F$11)</f>
        <v>38.204700000000003</v>
      </c>
      <c r="F922" s="4">
        <f>CHOOSE( CONTROL!$C$32, 39.2182, 39.213) * CHOOSE(CONTROL!$C$15, $D$11, 100%, $F$11)</f>
        <v>39.218200000000003</v>
      </c>
      <c r="G922" s="8">
        <f>CHOOSE( CONTROL!$C$32, 37.225, 37.2198) * CHOOSE( CONTROL!$C$15, $D$11, 100%, $F$11)</f>
        <v>37.225000000000001</v>
      </c>
      <c r="H922" s="4">
        <f>CHOOSE( CONTROL!$C$32, 38.1526, 38.1474) * CHOOSE(CONTROL!$C$15, $D$11, 100%, $F$11)</f>
        <v>38.1526</v>
      </c>
      <c r="I922" s="8">
        <f>CHOOSE( CONTROL!$C$32, 36.6591, 36.654) * CHOOSE(CONTROL!$C$15, $D$11, 100%, $F$11)</f>
        <v>36.659100000000002</v>
      </c>
      <c r="J922" s="4">
        <f>CHOOSE( CONTROL!$C$32, 36.582, 36.577) * CHOOSE(CONTROL!$C$15, $D$11, 100%, $F$11)</f>
        <v>36.582000000000001</v>
      </c>
      <c r="K922" s="4"/>
      <c r="L922" s="9">
        <v>28.568200000000001</v>
      </c>
      <c r="M922" s="9">
        <v>11.6745</v>
      </c>
      <c r="N922" s="9">
        <v>4.7850000000000001</v>
      </c>
      <c r="O922" s="9">
        <v>0.36249999999999999</v>
      </c>
      <c r="P922" s="9">
        <v>1.1798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CONTROL!$C$32, 39.8254, 39.8201) * CHOOSE(CONTROL!$C$15, $D$11, 100%, $F$11)</f>
        <v>39.825400000000002</v>
      </c>
      <c r="C923" s="8">
        <f>CHOOSE( CONTROL!$C$32, 39.8358, 39.8306) * CHOOSE(CONTROL!$C$15, $D$11, 100%, $F$11)</f>
        <v>39.835799999999999</v>
      </c>
      <c r="D923" s="8">
        <f>CHOOSE( CONTROL!$C$32, 39.8464, 39.8412) * CHOOSE( CONTROL!$C$15, $D$11, 100%, $F$11)</f>
        <v>39.846400000000003</v>
      </c>
      <c r="E923" s="12">
        <f>CHOOSE( CONTROL!$C$32, 39.841, 39.8358) * CHOOSE( CONTROL!$C$15, $D$11, 100%, $F$11)</f>
        <v>39.841000000000001</v>
      </c>
      <c r="F923" s="4">
        <f>CHOOSE( CONTROL!$C$32, 40.8608, 40.8556) * CHOOSE(CONTROL!$C$15, $D$11, 100%, $F$11)</f>
        <v>40.860799999999998</v>
      </c>
      <c r="G923" s="8">
        <f>CHOOSE( CONTROL!$C$32, 38.8128, 38.8077) * CHOOSE( CONTROL!$C$15, $D$11, 100%, $F$11)</f>
        <v>38.812800000000003</v>
      </c>
      <c r="H923" s="4">
        <f>CHOOSE( CONTROL!$C$32, 39.7537, 39.7486) * CHOOSE(CONTROL!$C$15, $D$11, 100%, $F$11)</f>
        <v>39.753700000000002</v>
      </c>
      <c r="I923" s="8">
        <f>CHOOSE( CONTROL!$C$32, 38.2372, 38.2321) * CHOOSE(CONTROL!$C$15, $D$11, 100%, $F$11)</f>
        <v>38.237200000000001</v>
      </c>
      <c r="J923" s="4">
        <f>CHOOSE( CONTROL!$C$32, 38.1559, 38.1509) * CHOOSE(CONTROL!$C$15, $D$11, 100%, $F$11)</f>
        <v>38.155900000000003</v>
      </c>
      <c r="K923" s="4"/>
      <c r="L923" s="9">
        <v>29.520499999999998</v>
      </c>
      <c r="M923" s="9">
        <v>12.063700000000001</v>
      </c>
      <c r="N923" s="9">
        <v>4.9444999999999997</v>
      </c>
      <c r="O923" s="9">
        <v>0.37459999999999999</v>
      </c>
      <c r="P923" s="9">
        <v>1.2192000000000001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CONTROL!$C$32, 36.7519, 36.7467) * CHOOSE(CONTROL!$C$15, $D$11, 100%, $F$11)</f>
        <v>36.751899999999999</v>
      </c>
      <c r="C924" s="8">
        <f>CHOOSE( CONTROL!$C$32, 36.7624, 36.7571) * CHOOSE(CONTROL!$C$15, $D$11, 100%, $F$11)</f>
        <v>36.7624</v>
      </c>
      <c r="D924" s="8">
        <f>CHOOSE( CONTROL!$C$32, 36.7733, 36.7681) * CHOOSE( CONTROL!$C$15, $D$11, 100%, $F$11)</f>
        <v>36.773299999999999</v>
      </c>
      <c r="E924" s="12">
        <f>CHOOSE( CONTROL!$C$32, 36.7677, 36.7625) * CHOOSE( CONTROL!$C$15, $D$11, 100%, $F$11)</f>
        <v>36.767699999999998</v>
      </c>
      <c r="F924" s="4">
        <f>CHOOSE( CONTROL!$C$32, 37.7874, 37.7821) * CHOOSE(CONTROL!$C$15, $D$11, 100%, $F$11)</f>
        <v>37.787399999999998</v>
      </c>
      <c r="G924" s="8">
        <f>CHOOSE( CONTROL!$C$32, 35.8174, 35.8123) * CHOOSE( CONTROL!$C$15, $D$11, 100%, $F$11)</f>
        <v>35.817399999999999</v>
      </c>
      <c r="H924" s="4">
        <f>CHOOSE( CONTROL!$C$32, 36.7578, 36.7527) * CHOOSE(CONTROL!$C$15, $D$11, 100%, $F$11)</f>
        <v>36.757800000000003</v>
      </c>
      <c r="I924" s="8">
        <f>CHOOSE( CONTROL!$C$32, 35.2923, 35.2873) * CHOOSE(CONTROL!$C$15, $D$11, 100%, $F$11)</f>
        <v>35.292299999999997</v>
      </c>
      <c r="J924" s="4">
        <f>CHOOSE( CONTROL!$C$32, 35.211, 35.2059) * CHOOSE(CONTROL!$C$15, $D$11, 100%, $F$11)</f>
        <v>35.210999999999999</v>
      </c>
      <c r="K924" s="4"/>
      <c r="L924" s="9">
        <v>29.520499999999998</v>
      </c>
      <c r="M924" s="9">
        <v>12.063700000000001</v>
      </c>
      <c r="N924" s="9">
        <v>4.9444999999999997</v>
      </c>
      <c r="O924" s="9">
        <v>0.37459999999999999</v>
      </c>
      <c r="P924" s="9">
        <v>1.2192000000000001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CONTROL!$C$32, 35.9823, 35.9771) * CHOOSE(CONTROL!$C$15, $D$11, 100%, $F$11)</f>
        <v>35.982300000000002</v>
      </c>
      <c r="C925" s="8">
        <f>CHOOSE( CONTROL!$C$32, 35.9928, 35.9875) * CHOOSE(CONTROL!$C$15, $D$11, 100%, $F$11)</f>
        <v>35.992800000000003</v>
      </c>
      <c r="D925" s="8">
        <f>CHOOSE( CONTROL!$C$32, 36.0038, 35.9986) * CHOOSE( CONTROL!$C$15, $D$11, 100%, $F$11)</f>
        <v>36.003799999999998</v>
      </c>
      <c r="E925" s="12">
        <f>CHOOSE( CONTROL!$C$32, 35.9982, 35.993) * CHOOSE( CONTROL!$C$15, $D$11, 100%, $F$11)</f>
        <v>35.998199999999997</v>
      </c>
      <c r="F925" s="4">
        <f>CHOOSE( CONTROL!$C$32, 37.0178, 37.0125) * CHOOSE(CONTROL!$C$15, $D$11, 100%, $F$11)</f>
        <v>37.017800000000001</v>
      </c>
      <c r="G925" s="8">
        <f>CHOOSE( CONTROL!$C$32, 35.0674, 35.0623) * CHOOSE( CONTROL!$C$15, $D$11, 100%, $F$11)</f>
        <v>35.067399999999999</v>
      </c>
      <c r="H925" s="4">
        <f>CHOOSE( CONTROL!$C$32, 36.0076, 36.0025) * CHOOSE(CONTROL!$C$15, $D$11, 100%, $F$11)</f>
        <v>36.007599999999996</v>
      </c>
      <c r="I925" s="8">
        <f>CHOOSE( CONTROL!$C$32, 34.5552, 34.5502) * CHOOSE(CONTROL!$C$15, $D$11, 100%, $F$11)</f>
        <v>34.555199999999999</v>
      </c>
      <c r="J925" s="4">
        <f>CHOOSE( CONTROL!$C$32, 34.4735, 34.4685) * CHOOSE(CONTROL!$C$15, $D$11, 100%, $F$11)</f>
        <v>34.473500000000001</v>
      </c>
      <c r="K925" s="4"/>
      <c r="L925" s="9">
        <v>28.568200000000001</v>
      </c>
      <c r="M925" s="9">
        <v>11.6745</v>
      </c>
      <c r="N925" s="9">
        <v>4.7850000000000001</v>
      </c>
      <c r="O925" s="9">
        <v>0.36249999999999999</v>
      </c>
      <c r="P925" s="9">
        <v>1.1798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37.5751 * CHOOSE(CONTROL!$C$15, $D$11, 100%, $F$11)</f>
        <v>37.575099999999999</v>
      </c>
      <c r="C926" s="8">
        <f>37.5855 * CHOOSE(CONTROL!$C$15, $D$11, 100%, $F$11)</f>
        <v>37.585500000000003</v>
      </c>
      <c r="D926" s="8">
        <f>37.5979 * CHOOSE( CONTROL!$C$15, $D$11, 100%, $F$11)</f>
        <v>37.597900000000003</v>
      </c>
      <c r="E926" s="12">
        <f>37.5927 * CHOOSE( CONTROL!$C$15, $D$11, 100%, $F$11)</f>
        <v>37.592700000000001</v>
      </c>
      <c r="F926" s="4">
        <f>38.6105 * CHOOSE(CONTROL!$C$15, $D$11, 100%, $F$11)</f>
        <v>38.610500000000002</v>
      </c>
      <c r="G926" s="8">
        <f>36.6194 * CHOOSE( CONTROL!$C$15, $D$11, 100%, $F$11)</f>
        <v>36.619399999999999</v>
      </c>
      <c r="H926" s="4">
        <f>37.5602 * CHOOSE(CONTROL!$C$15, $D$11, 100%, $F$11)</f>
        <v>37.560200000000002</v>
      </c>
      <c r="I926" s="8">
        <f>36.0836 * CHOOSE(CONTROL!$C$15, $D$11, 100%, $F$11)</f>
        <v>36.083599999999997</v>
      </c>
      <c r="J926" s="4">
        <f>35.9997 * CHOOSE(CONTROL!$C$15, $D$11, 100%, $F$11)</f>
        <v>35.999699999999997</v>
      </c>
      <c r="K926" s="4"/>
      <c r="L926" s="9">
        <v>28.921800000000001</v>
      </c>
      <c r="M926" s="9">
        <v>12.063700000000001</v>
      </c>
      <c r="N926" s="9">
        <v>4.9444999999999997</v>
      </c>
      <c r="O926" s="9">
        <v>0.37459999999999999</v>
      </c>
      <c r="P926" s="9">
        <v>1.2192000000000001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40.5247 * CHOOSE(CONTROL!$C$15, $D$11, 100%, $F$11)</f>
        <v>40.524700000000003</v>
      </c>
      <c r="C927" s="8">
        <f>40.5351 * CHOOSE(CONTROL!$C$15, $D$11, 100%, $F$11)</f>
        <v>40.5351</v>
      </c>
      <c r="D927" s="8">
        <f>40.5189 * CHOOSE( CONTROL!$C$15, $D$11, 100%, $F$11)</f>
        <v>40.518900000000002</v>
      </c>
      <c r="E927" s="12">
        <f>40.5237 * CHOOSE( CONTROL!$C$15, $D$11, 100%, $F$11)</f>
        <v>40.523699999999998</v>
      </c>
      <c r="F927" s="4">
        <f>41.5189 * CHOOSE(CONTROL!$C$15, $D$11, 100%, $F$11)</f>
        <v>41.518900000000002</v>
      </c>
      <c r="G927" s="8">
        <f>39.5155 * CHOOSE( CONTROL!$C$15, $D$11, 100%, $F$11)</f>
        <v>39.515500000000003</v>
      </c>
      <c r="H927" s="4">
        <f>40.3952 * CHOOSE(CONTROL!$C$15, $D$11, 100%, $F$11)</f>
        <v>40.395200000000003</v>
      </c>
      <c r="I927" s="8">
        <f>38.9481 * CHOOSE(CONTROL!$C$15, $D$11, 100%, $F$11)</f>
        <v>38.948099999999997</v>
      </c>
      <c r="J927" s="4">
        <f>38.826 * CHOOSE(CONTROL!$C$15, $D$11, 100%, $F$11)</f>
        <v>38.826000000000001</v>
      </c>
      <c r="K927" s="4"/>
      <c r="L927" s="9">
        <v>26.515499999999999</v>
      </c>
      <c r="M927" s="9">
        <v>11.6745</v>
      </c>
      <c r="N927" s="9">
        <v>4.7850000000000001</v>
      </c>
      <c r="O927" s="9">
        <v>0.36249999999999999</v>
      </c>
      <c r="P927" s="9">
        <v>1.2522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40.451 * CHOOSE(CONTROL!$C$15, $D$11, 100%, $F$11)</f>
        <v>40.451000000000001</v>
      </c>
      <c r="C928" s="8">
        <f>40.4614 * CHOOSE(CONTROL!$C$15, $D$11, 100%, $F$11)</f>
        <v>40.461399999999998</v>
      </c>
      <c r="D928" s="8">
        <f>40.4475 * CHOOSE( CONTROL!$C$15, $D$11, 100%, $F$11)</f>
        <v>40.447499999999998</v>
      </c>
      <c r="E928" s="12">
        <f>40.4515 * CHOOSE( CONTROL!$C$15, $D$11, 100%, $F$11)</f>
        <v>40.451500000000003</v>
      </c>
      <c r="F928" s="4">
        <f>41.4452 * CHOOSE(CONTROL!$C$15, $D$11, 100%, $F$11)</f>
        <v>41.4452</v>
      </c>
      <c r="G928" s="8">
        <f>39.4454 * CHOOSE( CONTROL!$C$15, $D$11, 100%, $F$11)</f>
        <v>39.445399999999999</v>
      </c>
      <c r="H928" s="4">
        <f>40.3233 * CHOOSE(CONTROL!$C$15, $D$11, 100%, $F$11)</f>
        <v>40.323300000000003</v>
      </c>
      <c r="I928" s="8">
        <f>38.8851 * CHOOSE(CONTROL!$C$15, $D$11, 100%, $F$11)</f>
        <v>38.885100000000001</v>
      </c>
      <c r="J928" s="4">
        <f>38.7554 * CHOOSE(CONTROL!$C$15, $D$11, 100%, $F$11)</f>
        <v>38.755400000000002</v>
      </c>
      <c r="K928" s="4"/>
      <c r="L928" s="9">
        <v>27.3993</v>
      </c>
      <c r="M928" s="9">
        <v>12.063700000000001</v>
      </c>
      <c r="N928" s="9">
        <v>4.9444999999999997</v>
      </c>
      <c r="O928" s="9">
        <v>0.37459999999999999</v>
      </c>
      <c r="P928" s="9">
        <v>1.2939000000000001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41.9968 * CHOOSE(CONTROL!$C$15, $D$11, 100%, $F$11)</f>
        <v>41.9968</v>
      </c>
      <c r="C929" s="8">
        <f>42.0072 * CHOOSE(CONTROL!$C$15, $D$11, 100%, $F$11)</f>
        <v>42.007199999999997</v>
      </c>
      <c r="D929" s="8">
        <f>42.0066 * CHOOSE( CONTROL!$C$15, $D$11, 100%, $F$11)</f>
        <v>42.006599999999999</v>
      </c>
      <c r="E929" s="12">
        <f>42.0057 * CHOOSE( CONTROL!$C$15, $D$11, 100%, $F$11)</f>
        <v>42.005699999999997</v>
      </c>
      <c r="F929" s="4">
        <f>43.0197 * CHOOSE(CONTROL!$C$15, $D$11, 100%, $F$11)</f>
        <v>43.0197</v>
      </c>
      <c r="G929" s="8">
        <f>40.9658 * CHOOSE( CONTROL!$C$15, $D$11, 100%, $F$11)</f>
        <v>40.965800000000002</v>
      </c>
      <c r="H929" s="4">
        <f>41.8581 * CHOOSE(CONTROL!$C$15, $D$11, 100%, $F$11)</f>
        <v>41.8581</v>
      </c>
      <c r="I929" s="8">
        <f>40.3653 * CHOOSE(CONTROL!$C$15, $D$11, 100%, $F$11)</f>
        <v>40.365299999999998</v>
      </c>
      <c r="J929" s="4">
        <f>40.2366 * CHOOSE(CONTROL!$C$15, $D$11, 100%, $F$11)</f>
        <v>40.236600000000003</v>
      </c>
      <c r="K929" s="4"/>
      <c r="L929" s="9">
        <v>27.3993</v>
      </c>
      <c r="M929" s="9">
        <v>12.063700000000001</v>
      </c>
      <c r="N929" s="9">
        <v>4.9444999999999997</v>
      </c>
      <c r="O929" s="9">
        <v>0.37459999999999999</v>
      </c>
      <c r="P929" s="9">
        <v>1.2939000000000001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39.2821 * CHOOSE(CONTROL!$C$15, $D$11, 100%, $F$11)</f>
        <v>39.2821</v>
      </c>
      <c r="C930" s="8">
        <f>39.2925 * CHOOSE(CONTROL!$C$15, $D$11, 100%, $F$11)</f>
        <v>39.292499999999997</v>
      </c>
      <c r="D930" s="8">
        <f>39.294 * CHOOSE( CONTROL!$C$15, $D$11, 100%, $F$11)</f>
        <v>39.293999999999997</v>
      </c>
      <c r="E930" s="12">
        <f>39.2923 * CHOOSE( CONTROL!$C$15, $D$11, 100%, $F$11)</f>
        <v>39.292299999999997</v>
      </c>
      <c r="F930" s="4">
        <f>40.2972 * CHOOSE(CONTROL!$C$15, $D$11, 100%, $F$11)</f>
        <v>40.297199999999997</v>
      </c>
      <c r="G930" s="8">
        <f>38.3194 * CHOOSE( CONTROL!$C$15, $D$11, 100%, $F$11)</f>
        <v>38.319400000000002</v>
      </c>
      <c r="H930" s="4">
        <f>39.2043 * CHOOSE(CONTROL!$C$15, $D$11, 100%, $F$11)</f>
        <v>39.204300000000003</v>
      </c>
      <c r="I930" s="8">
        <f>37.7518 * CHOOSE(CONTROL!$C$15, $D$11, 100%, $F$11)</f>
        <v>37.751800000000003</v>
      </c>
      <c r="J930" s="4">
        <f>37.6353 * CHOOSE(CONTROL!$C$15, $D$11, 100%, $F$11)</f>
        <v>37.635300000000001</v>
      </c>
      <c r="K930" s="4"/>
      <c r="L930" s="9">
        <v>25.631599999999999</v>
      </c>
      <c r="M930" s="9">
        <v>11.285299999999999</v>
      </c>
      <c r="N930" s="9">
        <v>4.6254999999999997</v>
      </c>
      <c r="O930" s="9">
        <v>0.35039999999999999</v>
      </c>
      <c r="P930" s="9">
        <v>1.2104999999999999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38.446 * CHOOSE(CONTROL!$C$15, $D$11, 100%, $F$11)</f>
        <v>38.445999999999998</v>
      </c>
      <c r="C931" s="8">
        <f>38.4564 * CHOOSE(CONTROL!$C$15, $D$11, 100%, $F$11)</f>
        <v>38.456400000000002</v>
      </c>
      <c r="D931" s="8">
        <f>38.4374 * CHOOSE( CONTROL!$C$15, $D$11, 100%, $F$11)</f>
        <v>38.437399999999997</v>
      </c>
      <c r="E931" s="12">
        <f>38.4432 * CHOOSE( CONTROL!$C$15, $D$11, 100%, $F$11)</f>
        <v>38.443199999999997</v>
      </c>
      <c r="F931" s="4">
        <f>39.4449 * CHOOSE(CONTROL!$C$15, $D$11, 100%, $F$11)</f>
        <v>39.444899999999997</v>
      </c>
      <c r="G931" s="8">
        <f>37.4836 * CHOOSE( CONTROL!$C$15, $D$11, 100%, $F$11)</f>
        <v>37.483600000000003</v>
      </c>
      <c r="H931" s="4">
        <f>38.3735 * CHOOSE(CONTROL!$C$15, $D$11, 100%, $F$11)</f>
        <v>38.3735</v>
      </c>
      <c r="I931" s="8">
        <f>36.9107 * CHOOSE(CONTROL!$C$15, $D$11, 100%, $F$11)</f>
        <v>36.910699999999999</v>
      </c>
      <c r="J931" s="4">
        <f>36.8342 * CHOOSE(CONTROL!$C$15, $D$11, 100%, $F$11)</f>
        <v>36.834200000000003</v>
      </c>
      <c r="K931" s="4"/>
      <c r="L931" s="9">
        <v>27.3993</v>
      </c>
      <c r="M931" s="9">
        <v>12.063700000000001</v>
      </c>
      <c r="N931" s="9">
        <v>4.9444999999999997</v>
      </c>
      <c r="O931" s="9">
        <v>0.37459999999999999</v>
      </c>
      <c r="P931" s="9">
        <v>1.2939000000000001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39.0302 * CHOOSE(CONTROL!$C$15, $D$11, 100%, $F$11)</f>
        <v>39.030200000000001</v>
      </c>
      <c r="C932" s="8">
        <f>39.0407 * CHOOSE(CONTROL!$C$15, $D$11, 100%, $F$11)</f>
        <v>39.040700000000001</v>
      </c>
      <c r="D932" s="8">
        <f>39.0447 * CHOOSE( CONTROL!$C$15, $D$11, 100%, $F$11)</f>
        <v>39.044699999999999</v>
      </c>
      <c r="E932" s="12">
        <f>39.0422 * CHOOSE( CONTROL!$C$15, $D$11, 100%, $F$11)</f>
        <v>39.042200000000001</v>
      </c>
      <c r="F932" s="4">
        <f>40.0375 * CHOOSE(CONTROL!$C$15, $D$11, 100%, $F$11)</f>
        <v>40.037500000000001</v>
      </c>
      <c r="G932" s="8">
        <f>38.0415 * CHOOSE( CONTROL!$C$15, $D$11, 100%, $F$11)</f>
        <v>38.041499999999999</v>
      </c>
      <c r="H932" s="4">
        <f>38.9512 * CHOOSE(CONTROL!$C$15, $D$11, 100%, $F$11)</f>
        <v>38.9512</v>
      </c>
      <c r="I932" s="8">
        <f>37.461 * CHOOSE(CONTROL!$C$15, $D$11, 100%, $F$11)</f>
        <v>37.460999999999999</v>
      </c>
      <c r="J932" s="4">
        <f>37.394 * CHOOSE(CONTROL!$C$15, $D$11, 100%, $F$11)</f>
        <v>37.393999999999998</v>
      </c>
      <c r="K932" s="4"/>
      <c r="L932" s="9">
        <v>27.988800000000001</v>
      </c>
      <c r="M932" s="9">
        <v>11.6745</v>
      </c>
      <c r="N932" s="9">
        <v>4.7850000000000001</v>
      </c>
      <c r="O932" s="9">
        <v>0.36249999999999999</v>
      </c>
      <c r="P932" s="9">
        <v>1.1798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CONTROL!$C$32, 40.0753, 40.0701) * CHOOSE(CONTROL!$C$15, $D$11, 100%, $F$11)</f>
        <v>40.075299999999999</v>
      </c>
      <c r="C933" s="8">
        <f>CHOOSE( CONTROL!$C$32, 40.0858, 40.0805) * CHOOSE(CONTROL!$C$15, $D$11, 100%, $F$11)</f>
        <v>40.085799999999999</v>
      </c>
      <c r="D933" s="8">
        <f>CHOOSE( CONTROL!$C$32, 40.0986, 40.0934) * CHOOSE( CONTROL!$C$15, $D$11, 100%, $F$11)</f>
        <v>40.098599999999998</v>
      </c>
      <c r="E933" s="12">
        <f>CHOOSE( CONTROL!$C$32, 40.0924, 40.0871) * CHOOSE( CONTROL!$C$15, $D$11, 100%, $F$11)</f>
        <v>40.092399999999998</v>
      </c>
      <c r="F933" s="4">
        <f>CHOOSE( CONTROL!$C$32, 41.0983, 41.093) * CHOOSE(CONTROL!$C$15, $D$11, 100%, $F$11)</f>
        <v>41.098300000000002</v>
      </c>
      <c r="G933" s="8">
        <f>CHOOSE( CONTROL!$C$32, 39.0659, 39.0608) * CHOOSE( CONTROL!$C$15, $D$11, 100%, $F$11)</f>
        <v>39.065899999999999</v>
      </c>
      <c r="H933" s="4">
        <f>CHOOSE( CONTROL!$C$32, 39.9852, 39.98) * CHOOSE(CONTROL!$C$15, $D$11, 100%, $F$11)</f>
        <v>39.985199999999999</v>
      </c>
      <c r="I933" s="8">
        <f>CHOOSE( CONTROL!$C$32, 38.4682, 38.4632) * CHOOSE(CONTROL!$C$15, $D$11, 100%, $F$11)</f>
        <v>38.468200000000003</v>
      </c>
      <c r="J933" s="4">
        <f>CHOOSE( CONTROL!$C$32, 38.3954, 38.3904) * CHOOSE(CONTROL!$C$15, $D$11, 100%, $F$11)</f>
        <v>38.395400000000002</v>
      </c>
      <c r="K933" s="4"/>
      <c r="L933" s="9">
        <v>29.520499999999998</v>
      </c>
      <c r="M933" s="9">
        <v>12.063700000000001</v>
      </c>
      <c r="N933" s="9">
        <v>4.9444999999999997</v>
      </c>
      <c r="O933" s="9">
        <v>0.37459999999999999</v>
      </c>
      <c r="P933" s="9">
        <v>1.2192000000000001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CONTROL!$C$32, 39.4312, 39.4259) * CHOOSE(CONTROL!$C$15, $D$11, 100%, $F$11)</f>
        <v>39.431199999999997</v>
      </c>
      <c r="C934" s="8">
        <f>CHOOSE( CONTROL!$C$32, 39.4416, 39.4364) * CHOOSE(CONTROL!$C$15, $D$11, 100%, $F$11)</f>
        <v>39.441600000000001</v>
      </c>
      <c r="D934" s="8">
        <f>CHOOSE( CONTROL!$C$32, 39.4621, 39.4568) * CHOOSE( CONTROL!$C$15, $D$11, 100%, $F$11)</f>
        <v>39.4621</v>
      </c>
      <c r="E934" s="12">
        <f>CHOOSE( CONTROL!$C$32, 39.4531, 39.4478) * CHOOSE( CONTROL!$C$15, $D$11, 100%, $F$11)</f>
        <v>39.453099999999999</v>
      </c>
      <c r="F934" s="4">
        <f>CHOOSE( CONTROL!$C$32, 40.4666, 40.4614) * CHOOSE(CONTROL!$C$15, $D$11, 100%, $F$11)</f>
        <v>40.4666</v>
      </c>
      <c r="G934" s="8">
        <f>CHOOSE( CONTROL!$C$32, 38.4418, 38.4367) * CHOOSE( CONTROL!$C$15, $D$11, 100%, $F$11)</f>
        <v>38.441800000000001</v>
      </c>
      <c r="H934" s="4">
        <f>CHOOSE( CONTROL!$C$32, 39.3695, 39.3643) * CHOOSE(CONTROL!$C$15, $D$11, 100%, $F$11)</f>
        <v>39.369500000000002</v>
      </c>
      <c r="I934" s="8">
        <f>CHOOSE( CONTROL!$C$32, 37.8559, 37.8508) * CHOOSE(CONTROL!$C$15, $D$11, 100%, $F$11)</f>
        <v>37.855899999999998</v>
      </c>
      <c r="J934" s="4">
        <f>CHOOSE( CONTROL!$C$32, 37.7782, 37.7732) * CHOOSE(CONTROL!$C$15, $D$11, 100%, $F$11)</f>
        <v>37.778199999999998</v>
      </c>
      <c r="K934" s="4"/>
      <c r="L934" s="9">
        <v>28.568200000000001</v>
      </c>
      <c r="M934" s="9">
        <v>11.6745</v>
      </c>
      <c r="N934" s="9">
        <v>4.7850000000000001</v>
      </c>
      <c r="O934" s="9">
        <v>0.36249999999999999</v>
      </c>
      <c r="P934" s="9">
        <v>1.1798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CONTROL!$C$32, 41.1275, 41.1222) * CHOOSE(CONTROL!$C$15, $D$11, 100%, $F$11)</f>
        <v>41.127499999999998</v>
      </c>
      <c r="C935" s="8">
        <f>CHOOSE( CONTROL!$C$32, 41.1379, 41.1327) * CHOOSE(CONTROL!$C$15, $D$11, 100%, $F$11)</f>
        <v>41.137900000000002</v>
      </c>
      <c r="D935" s="8">
        <f>CHOOSE( CONTROL!$C$32, 41.1485, 41.1433) * CHOOSE( CONTROL!$C$15, $D$11, 100%, $F$11)</f>
        <v>41.148499999999999</v>
      </c>
      <c r="E935" s="12">
        <f>CHOOSE( CONTROL!$C$32, 41.1431, 41.1379) * CHOOSE( CONTROL!$C$15, $D$11, 100%, $F$11)</f>
        <v>41.143099999999997</v>
      </c>
      <c r="F935" s="4">
        <f>CHOOSE( CONTROL!$C$32, 42.1629, 42.1577) * CHOOSE(CONTROL!$C$15, $D$11, 100%, $F$11)</f>
        <v>42.1629</v>
      </c>
      <c r="G935" s="8">
        <f>CHOOSE( CONTROL!$C$32, 40.0821, 40.077) * CHOOSE( CONTROL!$C$15, $D$11, 100%, $F$11)</f>
        <v>40.082099999999997</v>
      </c>
      <c r="H935" s="4">
        <f>CHOOSE( CONTROL!$C$32, 41.023, 41.0178) * CHOOSE(CONTROL!$C$15, $D$11, 100%, $F$11)</f>
        <v>41.023000000000003</v>
      </c>
      <c r="I935" s="8">
        <f>CHOOSE( CONTROL!$C$32, 39.4855, 39.4804) * CHOOSE(CONTROL!$C$15, $D$11, 100%, $F$11)</f>
        <v>39.485500000000002</v>
      </c>
      <c r="J935" s="4">
        <f>CHOOSE( CONTROL!$C$32, 39.4036, 39.3986) * CHOOSE(CONTROL!$C$15, $D$11, 100%, $F$11)</f>
        <v>39.403599999999997</v>
      </c>
      <c r="K935" s="4"/>
      <c r="L935" s="9">
        <v>29.520499999999998</v>
      </c>
      <c r="M935" s="9">
        <v>12.063700000000001</v>
      </c>
      <c r="N935" s="9">
        <v>4.9444999999999997</v>
      </c>
      <c r="O935" s="9">
        <v>0.37459999999999999</v>
      </c>
      <c r="P935" s="9">
        <v>1.2192000000000001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CONTROL!$C$32, 37.9535, 37.9483) * CHOOSE(CONTROL!$C$15, $D$11, 100%, $F$11)</f>
        <v>37.953499999999998</v>
      </c>
      <c r="C936" s="8">
        <f>CHOOSE( CONTROL!$C$32, 37.964, 37.9587) * CHOOSE(CONTROL!$C$15, $D$11, 100%, $F$11)</f>
        <v>37.963999999999999</v>
      </c>
      <c r="D936" s="8">
        <f>CHOOSE( CONTROL!$C$32, 37.9749, 37.9697) * CHOOSE( CONTROL!$C$15, $D$11, 100%, $F$11)</f>
        <v>37.974899999999998</v>
      </c>
      <c r="E936" s="12">
        <f>CHOOSE( CONTROL!$C$32, 37.9693, 37.9641) * CHOOSE( CONTROL!$C$15, $D$11, 100%, $F$11)</f>
        <v>37.969299999999997</v>
      </c>
      <c r="F936" s="4">
        <f>CHOOSE( CONTROL!$C$32, 38.989, 38.9837) * CHOOSE(CONTROL!$C$15, $D$11, 100%, $F$11)</f>
        <v>38.988999999999997</v>
      </c>
      <c r="G936" s="8">
        <f>CHOOSE( CONTROL!$C$32, 36.9887, 36.9836) * CHOOSE( CONTROL!$C$15, $D$11, 100%, $F$11)</f>
        <v>36.988700000000001</v>
      </c>
      <c r="H936" s="4">
        <f>CHOOSE( CONTROL!$C$32, 37.9291, 37.924) * CHOOSE(CONTROL!$C$15, $D$11, 100%, $F$11)</f>
        <v>37.929099999999998</v>
      </c>
      <c r="I936" s="8">
        <f>CHOOSE( CONTROL!$C$32, 36.4443, 36.4392) * CHOOSE(CONTROL!$C$15, $D$11, 100%, $F$11)</f>
        <v>36.444299999999998</v>
      </c>
      <c r="J936" s="4">
        <f>CHOOSE( CONTROL!$C$32, 36.3623, 36.3573) * CHOOSE(CONTROL!$C$15, $D$11, 100%, $F$11)</f>
        <v>36.362299999999998</v>
      </c>
      <c r="K936" s="4"/>
      <c r="L936" s="9">
        <v>29.520499999999998</v>
      </c>
      <c r="M936" s="9">
        <v>12.063700000000001</v>
      </c>
      <c r="N936" s="9">
        <v>4.9444999999999997</v>
      </c>
      <c r="O936" s="9">
        <v>0.37459999999999999</v>
      </c>
      <c r="P936" s="9">
        <v>1.2192000000000001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CONTROL!$C$32, 37.1587, 37.1535) * CHOOSE(CONTROL!$C$15, $D$11, 100%, $F$11)</f>
        <v>37.158700000000003</v>
      </c>
      <c r="C937" s="8">
        <f>CHOOSE( CONTROL!$C$32, 37.1692, 37.1639) * CHOOSE(CONTROL!$C$15, $D$11, 100%, $F$11)</f>
        <v>37.169199999999996</v>
      </c>
      <c r="D937" s="8">
        <f>CHOOSE( CONTROL!$C$32, 37.1803, 37.175) * CHOOSE( CONTROL!$C$15, $D$11, 100%, $F$11)</f>
        <v>37.180300000000003</v>
      </c>
      <c r="E937" s="12">
        <f>CHOOSE( CONTROL!$C$32, 37.1747, 37.1694) * CHOOSE( CONTROL!$C$15, $D$11, 100%, $F$11)</f>
        <v>37.174700000000001</v>
      </c>
      <c r="F937" s="4">
        <f>CHOOSE( CONTROL!$C$32, 38.1942, 38.1889) * CHOOSE(CONTROL!$C$15, $D$11, 100%, $F$11)</f>
        <v>38.194200000000002</v>
      </c>
      <c r="G937" s="8">
        <f>CHOOSE( CONTROL!$C$32, 36.2142, 36.2091) * CHOOSE( CONTROL!$C$15, $D$11, 100%, $F$11)</f>
        <v>36.214199999999998</v>
      </c>
      <c r="H937" s="4">
        <f>CHOOSE( CONTROL!$C$32, 37.1543, 37.1492) * CHOOSE(CONTROL!$C$15, $D$11, 100%, $F$11)</f>
        <v>37.154299999999999</v>
      </c>
      <c r="I937" s="8">
        <f>CHOOSE( CONTROL!$C$32, 35.683, 35.678) * CHOOSE(CONTROL!$C$15, $D$11, 100%, $F$11)</f>
        <v>35.683</v>
      </c>
      <c r="J937" s="4">
        <f>CHOOSE( CONTROL!$C$32, 35.6008, 35.5957) * CHOOSE(CONTROL!$C$15, $D$11, 100%, $F$11)</f>
        <v>35.6008</v>
      </c>
      <c r="K937" s="4"/>
      <c r="L937" s="9">
        <v>28.568200000000001</v>
      </c>
      <c r="M937" s="9">
        <v>11.6745</v>
      </c>
      <c r="N937" s="9">
        <v>4.7850000000000001</v>
      </c>
      <c r="O937" s="9">
        <v>0.36249999999999999</v>
      </c>
      <c r="P937" s="9">
        <v>1.1798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38.8038 * CHOOSE(CONTROL!$C$15, $D$11, 100%, $F$11)</f>
        <v>38.803800000000003</v>
      </c>
      <c r="C938" s="8">
        <f>38.8142 * CHOOSE(CONTROL!$C$15, $D$11, 100%, $F$11)</f>
        <v>38.8142</v>
      </c>
      <c r="D938" s="8">
        <f>38.8266 * CHOOSE( CONTROL!$C$15, $D$11, 100%, $F$11)</f>
        <v>38.826599999999999</v>
      </c>
      <c r="E938" s="12">
        <f>38.8214 * CHOOSE( CONTROL!$C$15, $D$11, 100%, $F$11)</f>
        <v>38.821399999999997</v>
      </c>
      <c r="F938" s="4">
        <f>39.8392 * CHOOSE(CONTROL!$C$15, $D$11, 100%, $F$11)</f>
        <v>39.839199999999998</v>
      </c>
      <c r="G938" s="8">
        <f>37.817 * CHOOSE( CONTROL!$C$15, $D$11, 100%, $F$11)</f>
        <v>37.817</v>
      </c>
      <c r="H938" s="4">
        <f>38.7578 * CHOOSE(CONTROL!$C$15, $D$11, 100%, $F$11)</f>
        <v>38.757800000000003</v>
      </c>
      <c r="I938" s="8">
        <f>37.2615 * CHOOSE(CONTROL!$C$15, $D$11, 100%, $F$11)</f>
        <v>37.261499999999998</v>
      </c>
      <c r="J938" s="4">
        <f>37.177 * CHOOSE(CONTROL!$C$15, $D$11, 100%, $F$11)</f>
        <v>37.177</v>
      </c>
      <c r="K938" s="4"/>
      <c r="L938" s="9">
        <v>28.921800000000001</v>
      </c>
      <c r="M938" s="9">
        <v>12.063700000000001</v>
      </c>
      <c r="N938" s="9">
        <v>4.9444999999999997</v>
      </c>
      <c r="O938" s="9">
        <v>0.37459999999999999</v>
      </c>
      <c r="P938" s="9">
        <v>1.2192000000000001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41.8498 * CHOOSE(CONTROL!$C$15, $D$11, 100%, $F$11)</f>
        <v>41.849800000000002</v>
      </c>
      <c r="C939" s="8">
        <f>41.8603 * CHOOSE(CONTROL!$C$15, $D$11, 100%, $F$11)</f>
        <v>41.860300000000002</v>
      </c>
      <c r="D939" s="8">
        <f>41.844 * CHOOSE( CONTROL!$C$15, $D$11, 100%, $F$11)</f>
        <v>41.844000000000001</v>
      </c>
      <c r="E939" s="12">
        <f>41.8488 * CHOOSE( CONTROL!$C$15, $D$11, 100%, $F$11)</f>
        <v>41.848799999999997</v>
      </c>
      <c r="F939" s="4">
        <f>42.844 * CHOOSE(CONTROL!$C$15, $D$11, 100%, $F$11)</f>
        <v>42.844000000000001</v>
      </c>
      <c r="G939" s="8">
        <f>40.8072 * CHOOSE( CONTROL!$C$15, $D$11, 100%, $F$11)</f>
        <v>40.807200000000002</v>
      </c>
      <c r="H939" s="4">
        <f>41.6869 * CHOOSE(CONTROL!$C$15, $D$11, 100%, $F$11)</f>
        <v>41.686900000000001</v>
      </c>
      <c r="I939" s="8">
        <f>40.2185 * CHOOSE(CONTROL!$C$15, $D$11, 100%, $F$11)</f>
        <v>40.218499999999999</v>
      </c>
      <c r="J939" s="4">
        <f>40.0957 * CHOOSE(CONTROL!$C$15, $D$11, 100%, $F$11)</f>
        <v>40.095700000000001</v>
      </c>
      <c r="K939" s="4"/>
      <c r="L939" s="9">
        <v>26.515499999999999</v>
      </c>
      <c r="M939" s="9">
        <v>11.6745</v>
      </c>
      <c r="N939" s="9">
        <v>4.7850000000000001</v>
      </c>
      <c r="O939" s="9">
        <v>0.36249999999999999</v>
      </c>
      <c r="P939" s="9">
        <v>1.2522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41.7737 * CHOOSE(CONTROL!$C$15, $D$11, 100%, $F$11)</f>
        <v>41.773699999999998</v>
      </c>
      <c r="C940" s="8">
        <f>41.7841 * CHOOSE(CONTROL!$C$15, $D$11, 100%, $F$11)</f>
        <v>41.784100000000002</v>
      </c>
      <c r="D940" s="8">
        <f>41.7702 * CHOOSE( CONTROL!$C$15, $D$11, 100%, $F$11)</f>
        <v>41.770200000000003</v>
      </c>
      <c r="E940" s="12">
        <f>41.7742 * CHOOSE( CONTROL!$C$15, $D$11, 100%, $F$11)</f>
        <v>41.7742</v>
      </c>
      <c r="F940" s="4">
        <f>42.7679 * CHOOSE(CONTROL!$C$15, $D$11, 100%, $F$11)</f>
        <v>42.767899999999997</v>
      </c>
      <c r="G940" s="8">
        <f>40.7348 * CHOOSE( CONTROL!$C$15, $D$11, 100%, $F$11)</f>
        <v>40.7348</v>
      </c>
      <c r="H940" s="4">
        <f>41.6127 * CHOOSE(CONTROL!$C$15, $D$11, 100%, $F$11)</f>
        <v>41.612699999999997</v>
      </c>
      <c r="I940" s="8">
        <f>40.1531 * CHOOSE(CONTROL!$C$15, $D$11, 100%, $F$11)</f>
        <v>40.153100000000002</v>
      </c>
      <c r="J940" s="4">
        <f>40.0228 * CHOOSE(CONTROL!$C$15, $D$11, 100%, $F$11)</f>
        <v>40.022799999999997</v>
      </c>
      <c r="K940" s="4"/>
      <c r="L940" s="9">
        <v>27.3993</v>
      </c>
      <c r="M940" s="9">
        <v>12.063700000000001</v>
      </c>
      <c r="N940" s="9">
        <v>4.9444999999999997</v>
      </c>
      <c r="O940" s="9">
        <v>0.37459999999999999</v>
      </c>
      <c r="P940" s="9">
        <v>1.2939000000000001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43.3701 * CHOOSE(CONTROL!$C$15, $D$11, 100%, $F$11)</f>
        <v>43.370100000000001</v>
      </c>
      <c r="C941" s="8">
        <f>43.3805 * CHOOSE(CONTROL!$C$15, $D$11, 100%, $F$11)</f>
        <v>43.380499999999998</v>
      </c>
      <c r="D941" s="8">
        <f>43.3799 * CHOOSE( CONTROL!$C$15, $D$11, 100%, $F$11)</f>
        <v>43.379899999999999</v>
      </c>
      <c r="E941" s="12">
        <f>43.379 * CHOOSE( CONTROL!$C$15, $D$11, 100%, $F$11)</f>
        <v>43.378999999999998</v>
      </c>
      <c r="F941" s="4">
        <f>44.393 * CHOOSE(CONTROL!$C$15, $D$11, 100%, $F$11)</f>
        <v>44.393000000000001</v>
      </c>
      <c r="G941" s="8">
        <f>42.3045 * CHOOSE( CONTROL!$C$15, $D$11, 100%, $F$11)</f>
        <v>42.304499999999997</v>
      </c>
      <c r="H941" s="4">
        <f>43.1968 * CHOOSE(CONTROL!$C$15, $D$11, 100%, $F$11)</f>
        <v>43.196800000000003</v>
      </c>
      <c r="I941" s="8">
        <f>41.6818 * CHOOSE(CONTROL!$C$15, $D$11, 100%, $F$11)</f>
        <v>41.681800000000003</v>
      </c>
      <c r="J941" s="4">
        <f>41.5525 * CHOOSE(CONTROL!$C$15, $D$11, 100%, $F$11)</f>
        <v>41.552500000000002</v>
      </c>
      <c r="K941" s="4"/>
      <c r="L941" s="9">
        <v>27.3993</v>
      </c>
      <c r="M941" s="9">
        <v>12.063700000000001</v>
      </c>
      <c r="N941" s="9">
        <v>4.9444999999999997</v>
      </c>
      <c r="O941" s="9">
        <v>0.37459999999999999</v>
      </c>
      <c r="P941" s="9">
        <v>1.2939000000000001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40.5666 * CHOOSE(CONTROL!$C$15, $D$11, 100%, $F$11)</f>
        <v>40.566600000000001</v>
      </c>
      <c r="C942" s="8">
        <f>40.577 * CHOOSE(CONTROL!$C$15, $D$11, 100%, $F$11)</f>
        <v>40.576999999999998</v>
      </c>
      <c r="D942" s="8">
        <f>40.5785 * CHOOSE( CONTROL!$C$15, $D$11, 100%, $F$11)</f>
        <v>40.578499999999998</v>
      </c>
      <c r="E942" s="12">
        <f>40.5768 * CHOOSE( CONTROL!$C$15, $D$11, 100%, $F$11)</f>
        <v>40.576799999999999</v>
      </c>
      <c r="F942" s="4">
        <f>41.5817 * CHOOSE(CONTROL!$C$15, $D$11, 100%, $F$11)</f>
        <v>41.581699999999998</v>
      </c>
      <c r="G942" s="8">
        <f>39.5715 * CHOOSE( CONTROL!$C$15, $D$11, 100%, $F$11)</f>
        <v>39.5715</v>
      </c>
      <c r="H942" s="4">
        <f>40.4564 * CHOOSE(CONTROL!$C$15, $D$11, 100%, $F$11)</f>
        <v>40.456400000000002</v>
      </c>
      <c r="I942" s="8">
        <f>38.9833 * CHOOSE(CONTROL!$C$15, $D$11, 100%, $F$11)</f>
        <v>38.9833</v>
      </c>
      <c r="J942" s="4">
        <f>38.8662 * CHOOSE(CONTROL!$C$15, $D$11, 100%, $F$11)</f>
        <v>38.866199999999999</v>
      </c>
      <c r="K942" s="4"/>
      <c r="L942" s="9">
        <v>24.747800000000002</v>
      </c>
      <c r="M942" s="9">
        <v>10.8962</v>
      </c>
      <c r="N942" s="9">
        <v>4.4660000000000002</v>
      </c>
      <c r="O942" s="9">
        <v>0.33829999999999999</v>
      </c>
      <c r="P942" s="9">
        <v>1.1687000000000001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39.7031 * CHOOSE(CONTROL!$C$15, $D$11, 100%, $F$11)</f>
        <v>39.703099999999999</v>
      </c>
      <c r="C943" s="8">
        <f>39.7136 * CHOOSE(CONTROL!$C$15, $D$11, 100%, $F$11)</f>
        <v>39.7136</v>
      </c>
      <c r="D943" s="8">
        <f>39.6946 * CHOOSE( CONTROL!$C$15, $D$11, 100%, $F$11)</f>
        <v>39.694600000000001</v>
      </c>
      <c r="E943" s="12">
        <f>39.7004 * CHOOSE( CONTROL!$C$15, $D$11, 100%, $F$11)</f>
        <v>39.700400000000002</v>
      </c>
      <c r="F943" s="4">
        <f>40.702 * CHOOSE(CONTROL!$C$15, $D$11, 100%, $F$11)</f>
        <v>40.701999999999998</v>
      </c>
      <c r="G943" s="8">
        <f>38.7091 * CHOOSE( CONTROL!$C$15, $D$11, 100%, $F$11)</f>
        <v>38.709099999999999</v>
      </c>
      <c r="H943" s="4">
        <f>39.5989 * CHOOSE(CONTROL!$C$15, $D$11, 100%, $F$11)</f>
        <v>39.5989</v>
      </c>
      <c r="I943" s="8">
        <f>38.116 * CHOOSE(CONTROL!$C$15, $D$11, 100%, $F$11)</f>
        <v>38.116</v>
      </c>
      <c r="J943" s="4">
        <f>38.0388 * CHOOSE(CONTROL!$C$15, $D$11, 100%, $F$11)</f>
        <v>38.038800000000002</v>
      </c>
      <c r="K943" s="4"/>
      <c r="L943" s="9">
        <v>27.3993</v>
      </c>
      <c r="M943" s="9">
        <v>12.063700000000001</v>
      </c>
      <c r="N943" s="9">
        <v>4.9444999999999997</v>
      </c>
      <c r="O943" s="9">
        <v>0.37459999999999999</v>
      </c>
      <c r="P943" s="9">
        <v>1.2939000000000001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40.3065 * CHOOSE(CONTROL!$C$15, $D$11, 100%, $F$11)</f>
        <v>40.3065</v>
      </c>
      <c r="C944" s="8">
        <f>40.3169 * CHOOSE(CONTROL!$C$15, $D$11, 100%, $F$11)</f>
        <v>40.316899999999997</v>
      </c>
      <c r="D944" s="8">
        <f>40.321 * CHOOSE( CONTROL!$C$15, $D$11, 100%, $F$11)</f>
        <v>40.320999999999998</v>
      </c>
      <c r="E944" s="12">
        <f>40.3185 * CHOOSE( CONTROL!$C$15, $D$11, 100%, $F$11)</f>
        <v>40.3185</v>
      </c>
      <c r="F944" s="4">
        <f>41.3138 * CHOOSE(CONTROL!$C$15, $D$11, 100%, $F$11)</f>
        <v>41.313800000000001</v>
      </c>
      <c r="G944" s="8">
        <f>39.2856 * CHOOSE( CONTROL!$C$15, $D$11, 100%, $F$11)</f>
        <v>39.285600000000002</v>
      </c>
      <c r="H944" s="4">
        <f>40.1952 * CHOOSE(CONTROL!$C$15, $D$11, 100%, $F$11)</f>
        <v>40.1952</v>
      </c>
      <c r="I944" s="8">
        <f>38.6845 * CHOOSE(CONTROL!$C$15, $D$11, 100%, $F$11)</f>
        <v>38.6845</v>
      </c>
      <c r="J944" s="4">
        <f>38.6169 * CHOOSE(CONTROL!$C$15, $D$11, 100%, $F$11)</f>
        <v>38.616900000000001</v>
      </c>
      <c r="K944" s="4"/>
      <c r="L944" s="9">
        <v>27.988800000000001</v>
      </c>
      <c r="M944" s="9">
        <v>11.6745</v>
      </c>
      <c r="N944" s="9">
        <v>4.7850000000000001</v>
      </c>
      <c r="O944" s="9">
        <v>0.36249999999999999</v>
      </c>
      <c r="P944" s="9">
        <v>1.1798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CONTROL!$C$32, 41.3856, 41.3804) * CHOOSE(CONTROL!$C$15, $D$11, 100%, $F$11)</f>
        <v>41.385599999999997</v>
      </c>
      <c r="C945" s="8">
        <f>CHOOSE( CONTROL!$C$32, 41.3961, 41.3908) * CHOOSE(CONTROL!$C$15, $D$11, 100%, $F$11)</f>
        <v>41.396099999999997</v>
      </c>
      <c r="D945" s="8">
        <f>CHOOSE( CONTROL!$C$32, 41.4089, 41.4036) * CHOOSE( CONTROL!$C$15, $D$11, 100%, $F$11)</f>
        <v>41.408900000000003</v>
      </c>
      <c r="E945" s="12">
        <f>CHOOSE( CONTROL!$C$32, 41.4027, 41.3974) * CHOOSE( CONTROL!$C$15, $D$11, 100%, $F$11)</f>
        <v>41.402700000000003</v>
      </c>
      <c r="F945" s="4">
        <f>CHOOSE( CONTROL!$C$32, 42.4085, 42.4033) * CHOOSE(CONTROL!$C$15, $D$11, 100%, $F$11)</f>
        <v>42.408499999999997</v>
      </c>
      <c r="G945" s="8">
        <f>CHOOSE( CONTROL!$C$32, 40.3431, 40.338) * CHOOSE( CONTROL!$C$15, $D$11, 100%, $F$11)</f>
        <v>40.3431</v>
      </c>
      <c r="H945" s="4">
        <f>CHOOSE( CONTROL!$C$32, 41.2624, 41.2572) * CHOOSE(CONTROL!$C$15, $D$11, 100%, $F$11)</f>
        <v>41.2624</v>
      </c>
      <c r="I945" s="8">
        <f>CHOOSE( CONTROL!$C$32, 39.7243, 39.7193) * CHOOSE(CONTROL!$C$15, $D$11, 100%, $F$11)</f>
        <v>39.724299999999999</v>
      </c>
      <c r="J945" s="4">
        <f>CHOOSE( CONTROL!$C$32, 39.651, 39.6459) * CHOOSE(CONTROL!$C$15, $D$11, 100%, $F$11)</f>
        <v>39.651000000000003</v>
      </c>
      <c r="K945" s="4"/>
      <c r="L945" s="9">
        <v>29.520499999999998</v>
      </c>
      <c r="M945" s="9">
        <v>12.063700000000001</v>
      </c>
      <c r="N945" s="9">
        <v>4.9444999999999997</v>
      </c>
      <c r="O945" s="9">
        <v>0.37459999999999999</v>
      </c>
      <c r="P945" s="9">
        <v>1.2192000000000001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CONTROL!$C$32, 40.7204, 40.7152) * CHOOSE(CONTROL!$C$15, $D$11, 100%, $F$11)</f>
        <v>40.720399999999998</v>
      </c>
      <c r="C946" s="8">
        <f>CHOOSE( CONTROL!$C$32, 40.7308, 40.7256) * CHOOSE(CONTROL!$C$15, $D$11, 100%, $F$11)</f>
        <v>40.730800000000002</v>
      </c>
      <c r="D946" s="8">
        <f>CHOOSE( CONTROL!$C$32, 40.7513, 40.746) * CHOOSE( CONTROL!$C$15, $D$11, 100%, $F$11)</f>
        <v>40.751300000000001</v>
      </c>
      <c r="E946" s="12">
        <f>CHOOSE( CONTROL!$C$32, 40.7423, 40.737) * CHOOSE( CONTROL!$C$15, $D$11, 100%, $F$11)</f>
        <v>40.7423</v>
      </c>
      <c r="F946" s="4">
        <f>CHOOSE( CONTROL!$C$32, 41.7558, 41.7506) * CHOOSE(CONTROL!$C$15, $D$11, 100%, $F$11)</f>
        <v>41.755800000000001</v>
      </c>
      <c r="G946" s="8">
        <f>CHOOSE( CONTROL!$C$32, 39.6985, 39.6934) * CHOOSE( CONTROL!$C$15, $D$11, 100%, $F$11)</f>
        <v>39.698500000000003</v>
      </c>
      <c r="H946" s="4">
        <f>CHOOSE( CONTROL!$C$32, 40.6261, 40.621) * CHOOSE(CONTROL!$C$15, $D$11, 100%, $F$11)</f>
        <v>40.626100000000001</v>
      </c>
      <c r="I946" s="8">
        <f>CHOOSE( CONTROL!$C$32, 39.0918, 39.0868) * CHOOSE(CONTROL!$C$15, $D$11, 100%, $F$11)</f>
        <v>39.091799999999999</v>
      </c>
      <c r="J946" s="4">
        <f>CHOOSE( CONTROL!$C$32, 39.0135, 39.0085) * CHOOSE(CONTROL!$C$15, $D$11, 100%, $F$11)</f>
        <v>39.013500000000001</v>
      </c>
      <c r="K946" s="4"/>
      <c r="L946" s="9">
        <v>28.568200000000001</v>
      </c>
      <c r="M946" s="9">
        <v>11.6745</v>
      </c>
      <c r="N946" s="9">
        <v>4.7850000000000001</v>
      </c>
      <c r="O946" s="9">
        <v>0.36249999999999999</v>
      </c>
      <c r="P946" s="9">
        <v>1.1798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CONTROL!$C$32, 42.4722, 42.4669) * CHOOSE(CONTROL!$C$15, $D$11, 100%, $F$11)</f>
        <v>42.472200000000001</v>
      </c>
      <c r="C947" s="8">
        <f>CHOOSE( CONTROL!$C$32, 42.4826, 42.4774) * CHOOSE(CONTROL!$C$15, $D$11, 100%, $F$11)</f>
        <v>42.482599999999998</v>
      </c>
      <c r="D947" s="8">
        <f>CHOOSE( CONTROL!$C$32, 42.4932, 42.488) * CHOOSE( CONTROL!$C$15, $D$11, 100%, $F$11)</f>
        <v>42.493200000000002</v>
      </c>
      <c r="E947" s="12">
        <f>CHOOSE( CONTROL!$C$32, 42.4878, 42.4826) * CHOOSE( CONTROL!$C$15, $D$11, 100%, $F$11)</f>
        <v>42.4878</v>
      </c>
      <c r="F947" s="4">
        <f>CHOOSE( CONTROL!$C$32, 43.5076, 43.5024) * CHOOSE(CONTROL!$C$15, $D$11, 100%, $F$11)</f>
        <v>43.507599999999996</v>
      </c>
      <c r="G947" s="8">
        <f>CHOOSE( CONTROL!$C$32, 41.3929, 41.3877) * CHOOSE( CONTROL!$C$15, $D$11, 100%, $F$11)</f>
        <v>41.392899999999997</v>
      </c>
      <c r="H947" s="4">
        <f>CHOOSE( CONTROL!$C$32, 42.3337, 42.3286) * CHOOSE(CONTROL!$C$15, $D$11, 100%, $F$11)</f>
        <v>42.3337</v>
      </c>
      <c r="I947" s="8">
        <f>CHOOSE( CONTROL!$C$32, 40.7746, 40.7696) * CHOOSE(CONTROL!$C$15, $D$11, 100%, $F$11)</f>
        <v>40.7746</v>
      </c>
      <c r="J947" s="4">
        <f>CHOOSE( CONTROL!$C$32, 40.6921, 40.687) * CHOOSE(CONTROL!$C$15, $D$11, 100%, $F$11)</f>
        <v>40.692100000000003</v>
      </c>
      <c r="K947" s="4"/>
      <c r="L947" s="9">
        <v>29.520499999999998</v>
      </c>
      <c r="M947" s="9">
        <v>12.063700000000001</v>
      </c>
      <c r="N947" s="9">
        <v>4.9444999999999997</v>
      </c>
      <c r="O947" s="9">
        <v>0.37459999999999999</v>
      </c>
      <c r="P947" s="9">
        <v>1.2192000000000001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CONTROL!$C$32, 39.1944, 39.1892) * CHOOSE(CONTROL!$C$15, $D$11, 100%, $F$11)</f>
        <v>39.194400000000002</v>
      </c>
      <c r="C948" s="8">
        <f>CHOOSE( CONTROL!$C$32, 39.2049, 39.1996) * CHOOSE(CONTROL!$C$15, $D$11, 100%, $F$11)</f>
        <v>39.204900000000002</v>
      </c>
      <c r="D948" s="8">
        <f>CHOOSE( CONTROL!$C$32, 39.2158, 39.2105) * CHOOSE( CONTROL!$C$15, $D$11, 100%, $F$11)</f>
        <v>39.215800000000002</v>
      </c>
      <c r="E948" s="12">
        <f>CHOOSE( CONTROL!$C$32, 39.2102, 39.205) * CHOOSE( CONTROL!$C$15, $D$11, 100%, $F$11)</f>
        <v>39.2102</v>
      </c>
      <c r="F948" s="4">
        <f>CHOOSE( CONTROL!$C$32, 40.2299, 40.2246) * CHOOSE(CONTROL!$C$15, $D$11, 100%, $F$11)</f>
        <v>40.229900000000001</v>
      </c>
      <c r="G948" s="8">
        <f>CHOOSE( CONTROL!$C$32, 38.1983, 38.1932) * CHOOSE( CONTROL!$C$15, $D$11, 100%, $F$11)</f>
        <v>38.198300000000003</v>
      </c>
      <c r="H948" s="4">
        <f>CHOOSE( CONTROL!$C$32, 39.1387, 39.1335) * CHOOSE(CONTROL!$C$15, $D$11, 100%, $F$11)</f>
        <v>39.1387</v>
      </c>
      <c r="I948" s="8">
        <f>CHOOSE( CONTROL!$C$32, 37.6339, 37.6289) * CHOOSE(CONTROL!$C$15, $D$11, 100%, $F$11)</f>
        <v>37.633899999999997</v>
      </c>
      <c r="J948" s="4">
        <f>CHOOSE( CONTROL!$C$32, 37.5513, 37.5463) * CHOOSE(CONTROL!$C$15, $D$11, 100%, $F$11)</f>
        <v>37.551299999999998</v>
      </c>
      <c r="K948" s="4"/>
      <c r="L948" s="9">
        <v>29.520499999999998</v>
      </c>
      <c r="M948" s="9">
        <v>12.063700000000001</v>
      </c>
      <c r="N948" s="9">
        <v>4.9444999999999997</v>
      </c>
      <c r="O948" s="9">
        <v>0.37459999999999999</v>
      </c>
      <c r="P948" s="9">
        <v>1.2192000000000001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CONTROL!$C$32, 38.3736, 38.3684) * CHOOSE(CONTROL!$C$15, $D$11, 100%, $F$11)</f>
        <v>38.373600000000003</v>
      </c>
      <c r="C949" s="8">
        <f>CHOOSE( CONTROL!$C$32, 38.3841, 38.3788) * CHOOSE(CONTROL!$C$15, $D$11, 100%, $F$11)</f>
        <v>38.384099999999997</v>
      </c>
      <c r="D949" s="8">
        <f>CHOOSE( CONTROL!$C$32, 38.3952, 38.3899) * CHOOSE( CONTROL!$C$15, $D$11, 100%, $F$11)</f>
        <v>38.395200000000003</v>
      </c>
      <c r="E949" s="12">
        <f>CHOOSE( CONTROL!$C$32, 38.3896, 38.3843) * CHOOSE( CONTROL!$C$15, $D$11, 100%, $F$11)</f>
        <v>38.389600000000002</v>
      </c>
      <c r="F949" s="4">
        <f>CHOOSE( CONTROL!$C$32, 39.4091, 39.4038) * CHOOSE(CONTROL!$C$15, $D$11, 100%, $F$11)</f>
        <v>39.409100000000002</v>
      </c>
      <c r="G949" s="8">
        <f>CHOOSE( CONTROL!$C$32, 37.3984, 37.3933) * CHOOSE( CONTROL!$C$15, $D$11, 100%, $F$11)</f>
        <v>37.398400000000002</v>
      </c>
      <c r="H949" s="4">
        <f>CHOOSE( CONTROL!$C$32, 38.3386, 38.3335) * CHOOSE(CONTROL!$C$15, $D$11, 100%, $F$11)</f>
        <v>38.3386</v>
      </c>
      <c r="I949" s="8">
        <f>CHOOSE( CONTROL!$C$32, 36.8477, 36.8427) * CHOOSE(CONTROL!$C$15, $D$11, 100%, $F$11)</f>
        <v>36.847700000000003</v>
      </c>
      <c r="J949" s="4">
        <f>CHOOSE( CONTROL!$C$32, 36.7649, 36.7598) * CHOOSE(CONTROL!$C$15, $D$11, 100%, $F$11)</f>
        <v>36.764899999999997</v>
      </c>
      <c r="K949" s="4"/>
      <c r="L949" s="9">
        <v>28.568200000000001</v>
      </c>
      <c r="M949" s="9">
        <v>11.6745</v>
      </c>
      <c r="N949" s="9">
        <v>4.7850000000000001</v>
      </c>
      <c r="O949" s="9">
        <v>0.36249999999999999</v>
      </c>
      <c r="P949" s="9">
        <v>1.1798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40.0726 * CHOOSE(CONTROL!$C$15, $D$11, 100%, $F$11)</f>
        <v>40.072600000000001</v>
      </c>
      <c r="C950" s="8">
        <f>40.0831 * CHOOSE(CONTROL!$C$15, $D$11, 100%, $F$11)</f>
        <v>40.083100000000002</v>
      </c>
      <c r="D950" s="8">
        <f>40.0954 * CHOOSE( CONTROL!$C$15, $D$11, 100%, $F$11)</f>
        <v>40.095399999999998</v>
      </c>
      <c r="E950" s="12">
        <f>40.0902 * CHOOSE( CONTROL!$C$15, $D$11, 100%, $F$11)</f>
        <v>40.090200000000003</v>
      </c>
      <c r="F950" s="4">
        <f>41.1081 * CHOOSE(CONTROL!$C$15, $D$11, 100%, $F$11)</f>
        <v>41.1081</v>
      </c>
      <c r="G950" s="8">
        <f>39.0539 * CHOOSE( CONTROL!$C$15, $D$11, 100%, $F$11)</f>
        <v>39.053899999999999</v>
      </c>
      <c r="H950" s="4">
        <f>39.9947 * CHOOSE(CONTROL!$C$15, $D$11, 100%, $F$11)</f>
        <v>39.994700000000002</v>
      </c>
      <c r="I950" s="8">
        <f>38.4779 * CHOOSE(CONTROL!$C$15, $D$11, 100%, $F$11)</f>
        <v>38.477899999999998</v>
      </c>
      <c r="J950" s="4">
        <f>38.3928 * CHOOSE(CONTROL!$C$15, $D$11, 100%, $F$11)</f>
        <v>38.392800000000001</v>
      </c>
      <c r="K950" s="4"/>
      <c r="L950" s="9">
        <v>28.921800000000001</v>
      </c>
      <c r="M950" s="9">
        <v>12.063700000000001</v>
      </c>
      <c r="N950" s="9">
        <v>4.9444999999999997</v>
      </c>
      <c r="O950" s="9">
        <v>0.37459999999999999</v>
      </c>
      <c r="P950" s="9">
        <v>1.2192000000000001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43.2183 * CHOOSE(CONTROL!$C$15, $D$11, 100%, $F$11)</f>
        <v>43.218299999999999</v>
      </c>
      <c r="C951" s="8">
        <f>43.2287 * CHOOSE(CONTROL!$C$15, $D$11, 100%, $F$11)</f>
        <v>43.228700000000003</v>
      </c>
      <c r="D951" s="8">
        <f>43.2125 * CHOOSE( CONTROL!$C$15, $D$11, 100%, $F$11)</f>
        <v>43.212499999999999</v>
      </c>
      <c r="E951" s="12">
        <f>43.2173 * CHOOSE( CONTROL!$C$15, $D$11, 100%, $F$11)</f>
        <v>43.217300000000002</v>
      </c>
      <c r="F951" s="4">
        <f>44.2125 * CHOOSE(CONTROL!$C$15, $D$11, 100%, $F$11)</f>
        <v>44.212499999999999</v>
      </c>
      <c r="G951" s="8">
        <f>42.1412 * CHOOSE( CONTROL!$C$15, $D$11, 100%, $F$11)</f>
        <v>42.141199999999998</v>
      </c>
      <c r="H951" s="4">
        <f>43.0208 * CHOOSE(CONTROL!$C$15, $D$11, 100%, $F$11)</f>
        <v>43.020800000000001</v>
      </c>
      <c r="I951" s="8">
        <f>41.5305 * CHOOSE(CONTROL!$C$15, $D$11, 100%, $F$11)</f>
        <v>41.530500000000004</v>
      </c>
      <c r="J951" s="4">
        <f>41.407 * CHOOSE(CONTROL!$C$15, $D$11, 100%, $F$11)</f>
        <v>41.406999999999996</v>
      </c>
      <c r="K951" s="4"/>
      <c r="L951" s="9">
        <v>26.515499999999999</v>
      </c>
      <c r="M951" s="9">
        <v>11.6745</v>
      </c>
      <c r="N951" s="9">
        <v>4.7850000000000001</v>
      </c>
      <c r="O951" s="9">
        <v>0.36249999999999999</v>
      </c>
      <c r="P951" s="9">
        <v>1.2522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43.1397 * CHOOSE(CONTROL!$C$15, $D$11, 100%, $F$11)</f>
        <v>43.139699999999998</v>
      </c>
      <c r="C952" s="8">
        <f>43.1501 * CHOOSE(CONTROL!$C$15, $D$11, 100%, $F$11)</f>
        <v>43.150100000000002</v>
      </c>
      <c r="D952" s="8">
        <f>43.1362 * CHOOSE( CONTROL!$C$15, $D$11, 100%, $F$11)</f>
        <v>43.136200000000002</v>
      </c>
      <c r="E952" s="12">
        <f>43.1402 * CHOOSE( CONTROL!$C$15, $D$11, 100%, $F$11)</f>
        <v>43.1402</v>
      </c>
      <c r="F952" s="4">
        <f>44.1339 * CHOOSE(CONTROL!$C$15, $D$11, 100%, $F$11)</f>
        <v>44.133899999999997</v>
      </c>
      <c r="G952" s="8">
        <f>42.0663 * CHOOSE( CONTROL!$C$15, $D$11, 100%, $F$11)</f>
        <v>42.066299999999998</v>
      </c>
      <c r="H952" s="4">
        <f>42.9442 * CHOOSE(CONTROL!$C$15, $D$11, 100%, $F$11)</f>
        <v>42.944200000000002</v>
      </c>
      <c r="I952" s="8">
        <f>41.4627 * CHOOSE(CONTROL!$C$15, $D$11, 100%, $F$11)</f>
        <v>41.462699999999998</v>
      </c>
      <c r="J952" s="4">
        <f>41.3317 * CHOOSE(CONTROL!$C$15, $D$11, 100%, $F$11)</f>
        <v>41.331699999999998</v>
      </c>
      <c r="K952" s="4"/>
      <c r="L952" s="9">
        <v>27.3993</v>
      </c>
      <c r="M952" s="9">
        <v>12.063700000000001</v>
      </c>
      <c r="N952" s="9">
        <v>4.9444999999999997</v>
      </c>
      <c r="O952" s="9">
        <v>0.37459999999999999</v>
      </c>
      <c r="P952" s="9">
        <v>1.2939000000000001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44.7883 * CHOOSE(CONTROL!$C$15, $D$11, 100%, $F$11)</f>
        <v>44.7883</v>
      </c>
      <c r="C953" s="8">
        <f>44.7987 * CHOOSE(CONTROL!$C$15, $D$11, 100%, $F$11)</f>
        <v>44.798699999999997</v>
      </c>
      <c r="D953" s="8">
        <f>44.7981 * CHOOSE( CONTROL!$C$15, $D$11, 100%, $F$11)</f>
        <v>44.798099999999998</v>
      </c>
      <c r="E953" s="12">
        <f>44.7972 * CHOOSE( CONTROL!$C$15, $D$11, 100%, $F$11)</f>
        <v>44.797199999999997</v>
      </c>
      <c r="F953" s="4">
        <f>45.8112 * CHOOSE(CONTROL!$C$15, $D$11, 100%, $F$11)</f>
        <v>45.811199999999999</v>
      </c>
      <c r="G953" s="8">
        <f>43.6869 * CHOOSE( CONTROL!$C$15, $D$11, 100%, $F$11)</f>
        <v>43.686900000000001</v>
      </c>
      <c r="H953" s="4">
        <f>44.5792 * CHOOSE(CONTROL!$C$15, $D$11, 100%, $F$11)</f>
        <v>44.5792</v>
      </c>
      <c r="I953" s="8">
        <f>43.0414 * CHOOSE(CONTROL!$C$15, $D$11, 100%, $F$11)</f>
        <v>43.041400000000003</v>
      </c>
      <c r="J953" s="4">
        <f>42.9114 * CHOOSE(CONTROL!$C$15, $D$11, 100%, $F$11)</f>
        <v>42.9114</v>
      </c>
      <c r="K953" s="4"/>
      <c r="L953" s="9">
        <v>27.3993</v>
      </c>
      <c r="M953" s="9">
        <v>12.063700000000001</v>
      </c>
      <c r="N953" s="9">
        <v>4.9444999999999997</v>
      </c>
      <c r="O953" s="9">
        <v>0.37459999999999999</v>
      </c>
      <c r="P953" s="9">
        <v>1.2939000000000001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41.8931 * CHOOSE(CONTROL!$C$15, $D$11, 100%, $F$11)</f>
        <v>41.893099999999997</v>
      </c>
      <c r="C954" s="8">
        <f>41.9036 * CHOOSE(CONTROL!$C$15, $D$11, 100%, $F$11)</f>
        <v>41.903599999999997</v>
      </c>
      <c r="D954" s="8">
        <f>41.9051 * CHOOSE( CONTROL!$C$15, $D$11, 100%, $F$11)</f>
        <v>41.905099999999997</v>
      </c>
      <c r="E954" s="12">
        <f>41.9034 * CHOOSE( CONTROL!$C$15, $D$11, 100%, $F$11)</f>
        <v>41.903399999999998</v>
      </c>
      <c r="F954" s="4">
        <f>42.9082 * CHOOSE(CONTROL!$C$15, $D$11, 100%, $F$11)</f>
        <v>42.908200000000001</v>
      </c>
      <c r="G954" s="8">
        <f>40.8645 * CHOOSE( CONTROL!$C$15, $D$11, 100%, $F$11)</f>
        <v>40.8645</v>
      </c>
      <c r="H954" s="4">
        <f>41.7494 * CHOOSE(CONTROL!$C$15, $D$11, 100%, $F$11)</f>
        <v>41.749400000000001</v>
      </c>
      <c r="I954" s="8">
        <f>40.255 * CHOOSE(CONTROL!$C$15, $D$11, 100%, $F$11)</f>
        <v>40.255000000000003</v>
      </c>
      <c r="J954" s="4">
        <f>40.1372 * CHOOSE(CONTROL!$C$15, $D$11, 100%, $F$11)</f>
        <v>40.1372</v>
      </c>
      <c r="K954" s="4"/>
      <c r="L954" s="9">
        <v>24.747800000000002</v>
      </c>
      <c r="M954" s="9">
        <v>10.8962</v>
      </c>
      <c r="N954" s="9">
        <v>4.4660000000000002</v>
      </c>
      <c r="O954" s="9">
        <v>0.33829999999999999</v>
      </c>
      <c r="P954" s="9">
        <v>1.1687000000000001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41.0014 * CHOOSE(CONTROL!$C$15, $D$11, 100%, $F$11)</f>
        <v>41.001399999999997</v>
      </c>
      <c r="C955" s="8">
        <f>41.0119 * CHOOSE(CONTROL!$C$15, $D$11, 100%, $F$11)</f>
        <v>41.011899999999997</v>
      </c>
      <c r="D955" s="8">
        <f>40.9929 * CHOOSE( CONTROL!$C$15, $D$11, 100%, $F$11)</f>
        <v>40.992899999999999</v>
      </c>
      <c r="E955" s="12">
        <f>40.9987 * CHOOSE( CONTROL!$C$15, $D$11, 100%, $F$11)</f>
        <v>40.998699999999999</v>
      </c>
      <c r="F955" s="4">
        <f>42.0003 * CHOOSE(CONTROL!$C$15, $D$11, 100%, $F$11)</f>
        <v>42.000300000000003</v>
      </c>
      <c r="G955" s="8">
        <f>39.9746 * CHOOSE( CONTROL!$C$15, $D$11, 100%, $F$11)</f>
        <v>39.974600000000002</v>
      </c>
      <c r="H955" s="4">
        <f>40.8645 * CHOOSE(CONTROL!$C$15, $D$11, 100%, $F$11)</f>
        <v>40.8645</v>
      </c>
      <c r="I955" s="8">
        <f>39.3606 * CHOOSE(CONTROL!$C$15, $D$11, 100%, $F$11)</f>
        <v>39.360599999999998</v>
      </c>
      <c r="J955" s="4">
        <f>39.2828 * CHOOSE(CONTROL!$C$15, $D$11, 100%, $F$11)</f>
        <v>39.282800000000002</v>
      </c>
      <c r="K955" s="4"/>
      <c r="L955" s="9">
        <v>27.3993</v>
      </c>
      <c r="M955" s="9">
        <v>12.063700000000001</v>
      </c>
      <c r="N955" s="9">
        <v>4.9444999999999997</v>
      </c>
      <c r="O955" s="9">
        <v>0.37459999999999999</v>
      </c>
      <c r="P955" s="9">
        <v>1.2939000000000001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41.6245 * CHOOSE(CONTROL!$C$15, $D$11, 100%, $F$11)</f>
        <v>41.624499999999998</v>
      </c>
      <c r="C956" s="8">
        <f>41.635 * CHOOSE(CONTROL!$C$15, $D$11, 100%, $F$11)</f>
        <v>41.634999999999998</v>
      </c>
      <c r="D956" s="8">
        <f>41.639 * CHOOSE( CONTROL!$C$15, $D$11, 100%, $F$11)</f>
        <v>41.639000000000003</v>
      </c>
      <c r="E956" s="12">
        <f>41.6365 * CHOOSE( CONTROL!$C$15, $D$11, 100%, $F$11)</f>
        <v>41.636499999999998</v>
      </c>
      <c r="F956" s="4">
        <f>42.6318 * CHOOSE(CONTROL!$C$15, $D$11, 100%, $F$11)</f>
        <v>42.631799999999998</v>
      </c>
      <c r="G956" s="8">
        <f>40.5704 * CHOOSE( CONTROL!$C$15, $D$11, 100%, $F$11)</f>
        <v>40.570399999999999</v>
      </c>
      <c r="H956" s="4">
        <f>41.48 * CHOOSE(CONTROL!$C$15, $D$11, 100%, $F$11)</f>
        <v>41.48</v>
      </c>
      <c r="I956" s="8">
        <f>39.948 * CHOOSE(CONTROL!$C$15, $D$11, 100%, $F$11)</f>
        <v>39.948</v>
      </c>
      <c r="J956" s="4">
        <f>39.8799 * CHOOSE(CONTROL!$C$15, $D$11, 100%, $F$11)</f>
        <v>39.879899999999999</v>
      </c>
      <c r="K956" s="4"/>
      <c r="L956" s="9">
        <v>27.988800000000001</v>
      </c>
      <c r="M956" s="9">
        <v>11.6745</v>
      </c>
      <c r="N956" s="9">
        <v>4.7850000000000001</v>
      </c>
      <c r="O956" s="9">
        <v>0.36249999999999999</v>
      </c>
      <c r="P956" s="9">
        <v>1.1798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CONTROL!$C$32, 42.7388, 42.7335) * CHOOSE(CONTROL!$C$15, $D$11, 100%, $F$11)</f>
        <v>42.738799999999998</v>
      </c>
      <c r="C957" s="8">
        <f>CHOOSE( CONTROL!$C$32, 42.7492, 42.7439) * CHOOSE(CONTROL!$C$15, $D$11, 100%, $F$11)</f>
        <v>42.749200000000002</v>
      </c>
      <c r="D957" s="8">
        <f>CHOOSE( CONTROL!$C$32, 42.762, 42.7568) * CHOOSE( CONTROL!$C$15, $D$11, 100%, $F$11)</f>
        <v>42.762</v>
      </c>
      <c r="E957" s="12">
        <f>CHOOSE( CONTROL!$C$32, 42.7558, 42.7505) * CHOOSE( CONTROL!$C$15, $D$11, 100%, $F$11)</f>
        <v>42.755800000000001</v>
      </c>
      <c r="F957" s="4">
        <f>CHOOSE( CONTROL!$C$32, 43.7617, 43.7564) * CHOOSE(CONTROL!$C$15, $D$11, 100%, $F$11)</f>
        <v>43.761699999999998</v>
      </c>
      <c r="G957" s="8">
        <f>CHOOSE( CONTROL!$C$32, 41.6621, 41.657) * CHOOSE( CONTROL!$C$15, $D$11, 100%, $F$11)</f>
        <v>41.662100000000002</v>
      </c>
      <c r="H957" s="4">
        <f>CHOOSE( CONTROL!$C$32, 42.5814, 42.5762) * CHOOSE(CONTROL!$C$15, $D$11, 100%, $F$11)</f>
        <v>42.581400000000002</v>
      </c>
      <c r="I957" s="8">
        <f>CHOOSE( CONTROL!$C$32, 41.0215, 41.0165) * CHOOSE(CONTROL!$C$15, $D$11, 100%, $F$11)</f>
        <v>41.021500000000003</v>
      </c>
      <c r="J957" s="4">
        <f>CHOOSE( CONTROL!$C$32, 40.9475, 40.9425) * CHOOSE(CONTROL!$C$15, $D$11, 100%, $F$11)</f>
        <v>40.947499999999998</v>
      </c>
      <c r="K957" s="4"/>
      <c r="L957" s="9">
        <v>29.520499999999998</v>
      </c>
      <c r="M957" s="9">
        <v>12.063700000000001</v>
      </c>
      <c r="N957" s="9">
        <v>4.9444999999999997</v>
      </c>
      <c r="O957" s="9">
        <v>0.37459999999999999</v>
      </c>
      <c r="P957" s="9">
        <v>1.2192000000000001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CONTROL!$C$32, 42.0518, 42.0465) * CHOOSE(CONTROL!$C$15, $D$11, 100%, $F$11)</f>
        <v>42.0518</v>
      </c>
      <c r="C958" s="8">
        <f>CHOOSE( CONTROL!$C$32, 42.0622, 42.057) * CHOOSE(CONTROL!$C$15, $D$11, 100%, $F$11)</f>
        <v>42.062199999999997</v>
      </c>
      <c r="D958" s="8">
        <f>CHOOSE( CONTROL!$C$32, 42.0827, 42.0774) * CHOOSE( CONTROL!$C$15, $D$11, 100%, $F$11)</f>
        <v>42.082700000000003</v>
      </c>
      <c r="E958" s="12">
        <f>CHOOSE( CONTROL!$C$32, 42.0737, 42.0684) * CHOOSE( CONTROL!$C$15, $D$11, 100%, $F$11)</f>
        <v>42.073700000000002</v>
      </c>
      <c r="F958" s="4">
        <f>CHOOSE( CONTROL!$C$32, 43.0872, 43.082) * CHOOSE(CONTROL!$C$15, $D$11, 100%, $F$11)</f>
        <v>43.087200000000003</v>
      </c>
      <c r="G958" s="8">
        <f>CHOOSE( CONTROL!$C$32, 40.9963, 40.9912) * CHOOSE( CONTROL!$C$15, $D$11, 100%, $F$11)</f>
        <v>40.996299999999998</v>
      </c>
      <c r="H958" s="4">
        <f>CHOOSE( CONTROL!$C$32, 41.9239, 41.9188) * CHOOSE(CONTROL!$C$15, $D$11, 100%, $F$11)</f>
        <v>41.923900000000003</v>
      </c>
      <c r="I958" s="8">
        <f>CHOOSE( CONTROL!$C$32, 40.3682, 40.3631) * CHOOSE(CONTROL!$C$15, $D$11, 100%, $F$11)</f>
        <v>40.368200000000002</v>
      </c>
      <c r="J958" s="4">
        <f>CHOOSE( CONTROL!$C$32, 40.2893, 40.2842) * CHOOSE(CONTROL!$C$15, $D$11, 100%, $F$11)</f>
        <v>40.289299999999997</v>
      </c>
      <c r="K958" s="4"/>
      <c r="L958" s="9">
        <v>28.568200000000001</v>
      </c>
      <c r="M958" s="9">
        <v>11.6745</v>
      </c>
      <c r="N958" s="9">
        <v>4.7850000000000001</v>
      </c>
      <c r="O958" s="9">
        <v>0.36249999999999999</v>
      </c>
      <c r="P958" s="9">
        <v>1.1798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CONTROL!$C$32, 43.8608, 43.8556) * CHOOSE(CONTROL!$C$15, $D$11, 100%, $F$11)</f>
        <v>43.860799999999998</v>
      </c>
      <c r="C959" s="8">
        <f>CHOOSE( CONTROL!$C$32, 43.8713, 43.866) * CHOOSE(CONTROL!$C$15, $D$11, 100%, $F$11)</f>
        <v>43.871299999999998</v>
      </c>
      <c r="D959" s="8">
        <f>CHOOSE( CONTROL!$C$32, 43.8819, 43.8766) * CHOOSE( CONTROL!$C$15, $D$11, 100%, $F$11)</f>
        <v>43.881900000000002</v>
      </c>
      <c r="E959" s="12">
        <f>CHOOSE( CONTROL!$C$32, 43.8765, 43.8712) * CHOOSE( CONTROL!$C$15, $D$11, 100%, $F$11)</f>
        <v>43.8765</v>
      </c>
      <c r="F959" s="4">
        <f>CHOOSE( CONTROL!$C$32, 44.8963, 44.891) * CHOOSE(CONTROL!$C$15, $D$11, 100%, $F$11)</f>
        <v>44.896299999999997</v>
      </c>
      <c r="G959" s="8">
        <f>CHOOSE( CONTROL!$C$32, 42.7465, 42.7414) * CHOOSE( CONTROL!$C$15, $D$11, 100%, $F$11)</f>
        <v>42.746499999999997</v>
      </c>
      <c r="H959" s="4">
        <f>CHOOSE( CONTROL!$C$32, 43.6873, 43.6822) * CHOOSE(CONTROL!$C$15, $D$11, 100%, $F$11)</f>
        <v>43.6873</v>
      </c>
      <c r="I959" s="8">
        <f>CHOOSE( CONTROL!$C$32, 42.1059, 42.1008) * CHOOSE(CONTROL!$C$15, $D$11, 100%, $F$11)</f>
        <v>42.105899999999998</v>
      </c>
      <c r="J959" s="4">
        <f>CHOOSE( CONTROL!$C$32, 42.0227, 42.0177) * CHOOSE(CONTROL!$C$15, $D$11, 100%, $F$11)</f>
        <v>42.0227</v>
      </c>
      <c r="K959" s="4"/>
      <c r="L959" s="9">
        <v>29.520499999999998</v>
      </c>
      <c r="M959" s="9">
        <v>12.063700000000001</v>
      </c>
      <c r="N959" s="9">
        <v>4.9444999999999997</v>
      </c>
      <c r="O959" s="9">
        <v>0.37459999999999999</v>
      </c>
      <c r="P959" s="9">
        <v>1.2192000000000001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CONTROL!$C$32, 40.4759, 40.4706) * CHOOSE(CONTROL!$C$15, $D$11, 100%, $F$11)</f>
        <v>40.475900000000003</v>
      </c>
      <c r="C960" s="8">
        <f>CHOOSE( CONTROL!$C$32, 40.4863, 40.4811) * CHOOSE(CONTROL!$C$15, $D$11, 100%, $F$11)</f>
        <v>40.4863</v>
      </c>
      <c r="D960" s="8">
        <f>CHOOSE( CONTROL!$C$32, 40.4973, 40.492) * CHOOSE( CONTROL!$C$15, $D$11, 100%, $F$11)</f>
        <v>40.497300000000003</v>
      </c>
      <c r="E960" s="12">
        <f>CHOOSE( CONTROL!$C$32, 40.4917, 40.4864) * CHOOSE( CONTROL!$C$15, $D$11, 100%, $F$11)</f>
        <v>40.491700000000002</v>
      </c>
      <c r="F960" s="4">
        <f>CHOOSE( CONTROL!$C$32, 41.5113, 41.5061) * CHOOSE(CONTROL!$C$15, $D$11, 100%, $F$11)</f>
        <v>41.511299999999999</v>
      </c>
      <c r="G960" s="8">
        <f>CHOOSE( CONTROL!$C$32, 39.4474, 39.4423) * CHOOSE( CONTROL!$C$15, $D$11, 100%, $F$11)</f>
        <v>39.447400000000002</v>
      </c>
      <c r="H960" s="4">
        <f>CHOOSE( CONTROL!$C$32, 40.3878, 40.3827) * CHOOSE(CONTROL!$C$15, $D$11, 100%, $F$11)</f>
        <v>40.387799999999999</v>
      </c>
      <c r="I960" s="8">
        <f>CHOOSE( CONTROL!$C$32, 38.8624, 38.8574) * CHOOSE(CONTROL!$C$15, $D$11, 100%, $F$11)</f>
        <v>38.862400000000001</v>
      </c>
      <c r="J960" s="4">
        <f>CHOOSE( CONTROL!$C$32, 38.7792, 38.7742) * CHOOSE(CONTROL!$C$15, $D$11, 100%, $F$11)</f>
        <v>38.779200000000003</v>
      </c>
      <c r="K960" s="4"/>
      <c r="L960" s="9">
        <v>29.520499999999998</v>
      </c>
      <c r="M960" s="9">
        <v>12.063700000000001</v>
      </c>
      <c r="N960" s="9">
        <v>4.9444999999999997</v>
      </c>
      <c r="O960" s="9">
        <v>0.37459999999999999</v>
      </c>
      <c r="P960" s="9">
        <v>1.2192000000000001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CONTROL!$C$32, 39.6283, 39.623) * CHOOSE(CONTROL!$C$15, $D$11, 100%, $F$11)</f>
        <v>39.628300000000003</v>
      </c>
      <c r="C961" s="8">
        <f>CHOOSE( CONTROL!$C$32, 39.6387, 39.6334) * CHOOSE(CONTROL!$C$15, $D$11, 100%, $F$11)</f>
        <v>39.6387</v>
      </c>
      <c r="D961" s="8">
        <f>CHOOSE( CONTROL!$C$32, 39.6498, 39.6445) * CHOOSE( CONTROL!$C$15, $D$11, 100%, $F$11)</f>
        <v>39.649799999999999</v>
      </c>
      <c r="E961" s="12">
        <f>CHOOSE( CONTROL!$C$32, 39.6442, 39.6389) * CHOOSE( CONTROL!$C$15, $D$11, 100%, $F$11)</f>
        <v>39.644199999999998</v>
      </c>
      <c r="F961" s="4">
        <f>CHOOSE( CONTROL!$C$32, 40.6637, 40.6584) * CHOOSE(CONTROL!$C$15, $D$11, 100%, $F$11)</f>
        <v>40.663699999999999</v>
      </c>
      <c r="G961" s="8">
        <f>CHOOSE( CONTROL!$C$32, 38.6214, 38.6163) * CHOOSE( CONTROL!$C$15, $D$11, 100%, $F$11)</f>
        <v>38.621400000000001</v>
      </c>
      <c r="H961" s="4">
        <f>CHOOSE( CONTROL!$C$32, 39.5616, 39.5564) * CHOOSE(CONTROL!$C$15, $D$11, 100%, $F$11)</f>
        <v>39.561599999999999</v>
      </c>
      <c r="I961" s="8">
        <f>CHOOSE( CONTROL!$C$32, 38.0505, 38.0455) * CHOOSE(CONTROL!$C$15, $D$11, 100%, $F$11)</f>
        <v>38.0505</v>
      </c>
      <c r="J961" s="4">
        <f>CHOOSE( CONTROL!$C$32, 37.967, 37.962) * CHOOSE(CONTROL!$C$15, $D$11, 100%, $F$11)</f>
        <v>37.966999999999999</v>
      </c>
      <c r="K961" s="4"/>
      <c r="L961" s="9">
        <v>28.568200000000001</v>
      </c>
      <c r="M961" s="9">
        <v>11.6745</v>
      </c>
      <c r="N961" s="9">
        <v>4.7850000000000001</v>
      </c>
      <c r="O961" s="9">
        <v>0.36249999999999999</v>
      </c>
      <c r="P961" s="9">
        <v>1.1798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41.383 * CHOOSE(CONTROL!$C$15, $D$11, 100%, $F$11)</f>
        <v>41.383000000000003</v>
      </c>
      <c r="C962" s="8">
        <f>41.3934 * CHOOSE(CONTROL!$C$15, $D$11, 100%, $F$11)</f>
        <v>41.3934</v>
      </c>
      <c r="D962" s="8">
        <f>41.4058 * CHOOSE( CONTROL!$C$15, $D$11, 100%, $F$11)</f>
        <v>41.405799999999999</v>
      </c>
      <c r="E962" s="12">
        <f>41.4006 * CHOOSE( CONTROL!$C$15, $D$11, 100%, $F$11)</f>
        <v>41.400599999999997</v>
      </c>
      <c r="F962" s="4">
        <f>42.4184 * CHOOSE(CONTROL!$C$15, $D$11, 100%, $F$11)</f>
        <v>42.418399999999998</v>
      </c>
      <c r="G962" s="8">
        <f>40.3312 * CHOOSE( CONTROL!$C$15, $D$11, 100%, $F$11)</f>
        <v>40.331200000000003</v>
      </c>
      <c r="H962" s="4">
        <f>41.272 * CHOOSE(CONTROL!$C$15, $D$11, 100%, $F$11)</f>
        <v>41.271999999999998</v>
      </c>
      <c r="I962" s="8">
        <f>39.7341 * CHOOSE(CONTROL!$C$15, $D$11, 100%, $F$11)</f>
        <v>39.734099999999998</v>
      </c>
      <c r="J962" s="4">
        <f>39.6484 * CHOOSE(CONTROL!$C$15, $D$11, 100%, $F$11)</f>
        <v>39.648400000000002</v>
      </c>
      <c r="K962" s="4"/>
      <c r="L962" s="9">
        <v>28.921800000000001</v>
      </c>
      <c r="M962" s="9">
        <v>12.063700000000001</v>
      </c>
      <c r="N962" s="9">
        <v>4.9444999999999997</v>
      </c>
      <c r="O962" s="9">
        <v>0.37459999999999999</v>
      </c>
      <c r="P962" s="9">
        <v>1.2192000000000001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44.6315 * CHOOSE(CONTROL!$C$15, $D$11, 100%, $F$11)</f>
        <v>44.631500000000003</v>
      </c>
      <c r="C963" s="8">
        <f>44.642 * CHOOSE(CONTROL!$C$15, $D$11, 100%, $F$11)</f>
        <v>44.642000000000003</v>
      </c>
      <c r="D963" s="8">
        <f>44.6257 * CHOOSE( CONTROL!$C$15, $D$11, 100%, $F$11)</f>
        <v>44.625700000000002</v>
      </c>
      <c r="E963" s="12">
        <f>44.6305 * CHOOSE( CONTROL!$C$15, $D$11, 100%, $F$11)</f>
        <v>44.630499999999998</v>
      </c>
      <c r="F963" s="4">
        <f>45.6257 * CHOOSE(CONTROL!$C$15, $D$11, 100%, $F$11)</f>
        <v>45.625700000000002</v>
      </c>
      <c r="G963" s="8">
        <f>43.5188 * CHOOSE( CONTROL!$C$15, $D$11, 100%, $F$11)</f>
        <v>43.518799999999999</v>
      </c>
      <c r="H963" s="4">
        <f>44.3984 * CHOOSE(CONTROL!$C$15, $D$11, 100%, $F$11)</f>
        <v>44.398400000000002</v>
      </c>
      <c r="I963" s="8">
        <f>42.8853 * CHOOSE(CONTROL!$C$15, $D$11, 100%, $F$11)</f>
        <v>42.885300000000001</v>
      </c>
      <c r="J963" s="4">
        <f>42.7612 * CHOOSE(CONTROL!$C$15, $D$11, 100%, $F$11)</f>
        <v>42.761200000000002</v>
      </c>
      <c r="K963" s="4"/>
      <c r="L963" s="9">
        <v>26.515499999999999</v>
      </c>
      <c r="M963" s="9">
        <v>11.6745</v>
      </c>
      <c r="N963" s="9">
        <v>4.7850000000000001</v>
      </c>
      <c r="O963" s="9">
        <v>0.36249999999999999</v>
      </c>
      <c r="P963" s="9">
        <v>1.2522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44.5504 * CHOOSE(CONTROL!$C$15, $D$11, 100%, $F$11)</f>
        <v>44.550400000000003</v>
      </c>
      <c r="C964" s="8">
        <f>44.5608 * CHOOSE(CONTROL!$C$15, $D$11, 100%, $F$11)</f>
        <v>44.5608</v>
      </c>
      <c r="D964" s="8">
        <f>44.5469 * CHOOSE( CONTROL!$C$15, $D$11, 100%, $F$11)</f>
        <v>44.546900000000001</v>
      </c>
      <c r="E964" s="12">
        <f>44.5509 * CHOOSE( CONTROL!$C$15, $D$11, 100%, $F$11)</f>
        <v>44.550899999999999</v>
      </c>
      <c r="F964" s="4">
        <f>45.5446 * CHOOSE(CONTROL!$C$15, $D$11, 100%, $F$11)</f>
        <v>45.544600000000003</v>
      </c>
      <c r="G964" s="8">
        <f>43.4414 * CHOOSE( CONTROL!$C$15, $D$11, 100%, $F$11)</f>
        <v>43.441400000000002</v>
      </c>
      <c r="H964" s="4">
        <f>44.3193 * CHOOSE(CONTROL!$C$15, $D$11, 100%, $F$11)</f>
        <v>44.319299999999998</v>
      </c>
      <c r="I964" s="8">
        <f>42.8151 * CHOOSE(CONTROL!$C$15, $D$11, 100%, $F$11)</f>
        <v>42.815100000000001</v>
      </c>
      <c r="J964" s="4">
        <f>42.6834 * CHOOSE(CONTROL!$C$15, $D$11, 100%, $F$11)</f>
        <v>42.683399999999999</v>
      </c>
      <c r="K964" s="4"/>
      <c r="L964" s="9">
        <v>27.3993</v>
      </c>
      <c r="M964" s="9">
        <v>12.063700000000001</v>
      </c>
      <c r="N964" s="9">
        <v>4.9444999999999997</v>
      </c>
      <c r="O964" s="9">
        <v>0.37459999999999999</v>
      </c>
      <c r="P964" s="9">
        <v>1.2939000000000001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46.2529 * CHOOSE(CONTROL!$C$15, $D$11, 100%, $F$11)</f>
        <v>46.252899999999997</v>
      </c>
      <c r="C965" s="8">
        <f>46.2633 * CHOOSE(CONTROL!$C$15, $D$11, 100%, $F$11)</f>
        <v>46.263300000000001</v>
      </c>
      <c r="D965" s="8">
        <f>46.2626 * CHOOSE( CONTROL!$C$15, $D$11, 100%, $F$11)</f>
        <v>46.262599999999999</v>
      </c>
      <c r="E965" s="12">
        <f>46.2617 * CHOOSE( CONTROL!$C$15, $D$11, 100%, $F$11)</f>
        <v>46.261699999999998</v>
      </c>
      <c r="F965" s="4">
        <f>47.2758 * CHOOSE(CONTROL!$C$15, $D$11, 100%, $F$11)</f>
        <v>47.275799999999997</v>
      </c>
      <c r="G965" s="8">
        <f>45.1145 * CHOOSE( CONTROL!$C$15, $D$11, 100%, $F$11)</f>
        <v>45.1145</v>
      </c>
      <c r="H965" s="4">
        <f>46.0068 * CHOOSE(CONTROL!$C$15, $D$11, 100%, $F$11)</f>
        <v>46.006799999999998</v>
      </c>
      <c r="I965" s="8">
        <f>44.4455 * CHOOSE(CONTROL!$C$15, $D$11, 100%, $F$11)</f>
        <v>44.445500000000003</v>
      </c>
      <c r="J965" s="4">
        <f>44.3147 * CHOOSE(CONTROL!$C$15, $D$11, 100%, $F$11)</f>
        <v>44.314700000000002</v>
      </c>
      <c r="K965" s="4"/>
      <c r="L965" s="9">
        <v>27.3993</v>
      </c>
      <c r="M965" s="9">
        <v>12.063700000000001</v>
      </c>
      <c r="N965" s="9">
        <v>4.9444999999999997</v>
      </c>
      <c r="O965" s="9">
        <v>0.37459999999999999</v>
      </c>
      <c r="P965" s="9">
        <v>1.2939000000000001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43.263 * CHOOSE(CONTROL!$C$15, $D$11, 100%, $F$11)</f>
        <v>43.262999999999998</v>
      </c>
      <c r="C966" s="8">
        <f>43.2735 * CHOOSE(CONTROL!$C$15, $D$11, 100%, $F$11)</f>
        <v>43.273499999999999</v>
      </c>
      <c r="D966" s="8">
        <f>43.275 * CHOOSE( CONTROL!$C$15, $D$11, 100%, $F$11)</f>
        <v>43.274999999999999</v>
      </c>
      <c r="E966" s="12">
        <f>43.2733 * CHOOSE( CONTROL!$C$15, $D$11, 100%, $F$11)</f>
        <v>43.273299999999999</v>
      </c>
      <c r="F966" s="4">
        <f>44.2781 * CHOOSE(CONTROL!$C$15, $D$11, 100%, $F$11)</f>
        <v>44.278100000000002</v>
      </c>
      <c r="G966" s="8">
        <f>42.1999 * CHOOSE( CONTROL!$C$15, $D$11, 100%, $F$11)</f>
        <v>42.1999</v>
      </c>
      <c r="H966" s="4">
        <f>43.0848 * CHOOSE(CONTROL!$C$15, $D$11, 100%, $F$11)</f>
        <v>43.084800000000001</v>
      </c>
      <c r="I966" s="8">
        <f>41.5683 * CHOOSE(CONTROL!$C$15, $D$11, 100%, $F$11)</f>
        <v>41.568300000000001</v>
      </c>
      <c r="J966" s="4">
        <f>41.4499 * CHOOSE(CONTROL!$C$15, $D$11, 100%, $F$11)</f>
        <v>41.4499</v>
      </c>
      <c r="K966" s="4"/>
      <c r="L966" s="9">
        <v>24.747800000000002</v>
      </c>
      <c r="M966" s="9">
        <v>10.8962</v>
      </c>
      <c r="N966" s="9">
        <v>4.4660000000000002</v>
      </c>
      <c r="O966" s="9">
        <v>0.33829999999999999</v>
      </c>
      <c r="P966" s="9">
        <v>1.1687000000000001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42.3422 * CHOOSE(CONTROL!$C$15, $D$11, 100%, $F$11)</f>
        <v>42.342199999999998</v>
      </c>
      <c r="C967" s="8">
        <f>42.3526 * CHOOSE(CONTROL!$C$15, $D$11, 100%, $F$11)</f>
        <v>42.352600000000002</v>
      </c>
      <c r="D967" s="8">
        <f>42.3336 * CHOOSE( CONTROL!$C$15, $D$11, 100%, $F$11)</f>
        <v>42.333599999999997</v>
      </c>
      <c r="E967" s="12">
        <f>42.3394 * CHOOSE( CONTROL!$C$15, $D$11, 100%, $F$11)</f>
        <v>42.339399999999998</v>
      </c>
      <c r="F967" s="4">
        <f>43.3411 * CHOOSE(CONTROL!$C$15, $D$11, 100%, $F$11)</f>
        <v>43.341099999999997</v>
      </c>
      <c r="G967" s="8">
        <f>41.2815 * CHOOSE( CONTROL!$C$15, $D$11, 100%, $F$11)</f>
        <v>41.281500000000001</v>
      </c>
      <c r="H967" s="4">
        <f>42.1714 * CHOOSE(CONTROL!$C$15, $D$11, 100%, $F$11)</f>
        <v>42.171399999999998</v>
      </c>
      <c r="I967" s="8">
        <f>40.6459 * CHOOSE(CONTROL!$C$15, $D$11, 100%, $F$11)</f>
        <v>40.645899999999997</v>
      </c>
      <c r="J967" s="4">
        <f>40.5675 * CHOOSE(CONTROL!$C$15, $D$11, 100%, $F$11)</f>
        <v>40.567500000000003</v>
      </c>
      <c r="K967" s="4"/>
      <c r="L967" s="9">
        <v>27.3993</v>
      </c>
      <c r="M967" s="9">
        <v>12.063700000000001</v>
      </c>
      <c r="N967" s="9">
        <v>4.9444999999999997</v>
      </c>
      <c r="O967" s="9">
        <v>0.37459999999999999</v>
      </c>
      <c r="P967" s="9">
        <v>1.2939000000000001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42.9856 * CHOOSE(CONTROL!$C$15, $D$11, 100%, $F$11)</f>
        <v>42.985599999999998</v>
      </c>
      <c r="C968" s="8">
        <f>42.9961 * CHOOSE(CONTROL!$C$15, $D$11, 100%, $F$11)</f>
        <v>42.996099999999998</v>
      </c>
      <c r="D968" s="8">
        <f>43.0001 * CHOOSE( CONTROL!$C$15, $D$11, 100%, $F$11)</f>
        <v>43.000100000000003</v>
      </c>
      <c r="E968" s="12">
        <f>42.9976 * CHOOSE( CONTROL!$C$15, $D$11, 100%, $F$11)</f>
        <v>42.997599999999998</v>
      </c>
      <c r="F968" s="4">
        <f>43.9929 * CHOOSE(CONTROL!$C$15, $D$11, 100%, $F$11)</f>
        <v>43.992899999999999</v>
      </c>
      <c r="G968" s="8">
        <f>41.8971 * CHOOSE( CONTROL!$C$15, $D$11, 100%, $F$11)</f>
        <v>41.897100000000002</v>
      </c>
      <c r="H968" s="4">
        <f>42.8068 * CHOOSE(CONTROL!$C$15, $D$11, 100%, $F$11)</f>
        <v>42.806800000000003</v>
      </c>
      <c r="I968" s="8">
        <f>41.2529 * CHOOSE(CONTROL!$C$15, $D$11, 100%, $F$11)</f>
        <v>41.252899999999997</v>
      </c>
      <c r="J968" s="4">
        <f>41.1841 * CHOOSE(CONTROL!$C$15, $D$11, 100%, $F$11)</f>
        <v>41.184100000000001</v>
      </c>
      <c r="K968" s="4"/>
      <c r="L968" s="9">
        <v>27.988800000000001</v>
      </c>
      <c r="M968" s="9">
        <v>11.6745</v>
      </c>
      <c r="N968" s="9">
        <v>4.7850000000000001</v>
      </c>
      <c r="O968" s="9">
        <v>0.36249999999999999</v>
      </c>
      <c r="P968" s="9">
        <v>1.1798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CONTROL!$C$32, 44.1361, 44.1309) * CHOOSE(CONTROL!$C$15, $D$11, 100%, $F$11)</f>
        <v>44.136099999999999</v>
      </c>
      <c r="C969" s="8">
        <f>CHOOSE( CONTROL!$C$32, 44.1466, 44.1413) * CHOOSE(CONTROL!$C$15, $D$11, 100%, $F$11)</f>
        <v>44.146599999999999</v>
      </c>
      <c r="D969" s="8">
        <f>CHOOSE( CONTROL!$C$32, 44.1594, 44.1542) * CHOOSE( CONTROL!$C$15, $D$11, 100%, $F$11)</f>
        <v>44.159399999999998</v>
      </c>
      <c r="E969" s="12">
        <f>CHOOSE( CONTROL!$C$32, 44.1532, 44.1479) * CHOOSE( CONTROL!$C$15, $D$11, 100%, $F$11)</f>
        <v>44.153199999999998</v>
      </c>
      <c r="F969" s="4">
        <f>CHOOSE( CONTROL!$C$32, 45.159, 45.1538) * CHOOSE(CONTROL!$C$15, $D$11, 100%, $F$11)</f>
        <v>45.158999999999999</v>
      </c>
      <c r="G969" s="8">
        <f>CHOOSE( CONTROL!$C$32, 43.0242, 43.0191) * CHOOSE( CONTROL!$C$15, $D$11, 100%, $F$11)</f>
        <v>43.0242</v>
      </c>
      <c r="H969" s="4">
        <f>CHOOSE( CONTROL!$C$32, 43.9435, 43.9384) * CHOOSE(CONTROL!$C$15, $D$11, 100%, $F$11)</f>
        <v>43.9435</v>
      </c>
      <c r="I969" s="8">
        <f>CHOOSE( CONTROL!$C$32, 42.3612, 42.3562) * CHOOSE(CONTROL!$C$15, $D$11, 100%, $F$11)</f>
        <v>42.361199999999997</v>
      </c>
      <c r="J969" s="4">
        <f>CHOOSE( CONTROL!$C$32, 42.2865, 42.2815) * CHOOSE(CONTROL!$C$15, $D$11, 100%, $F$11)</f>
        <v>42.286499999999997</v>
      </c>
      <c r="K969" s="4"/>
      <c r="L969" s="9">
        <v>29.520499999999998</v>
      </c>
      <c r="M969" s="9">
        <v>12.063700000000001</v>
      </c>
      <c r="N969" s="9">
        <v>4.9444999999999997</v>
      </c>
      <c r="O969" s="9">
        <v>0.37459999999999999</v>
      </c>
      <c r="P969" s="9">
        <v>1.2192000000000001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CONTROL!$C$32, 43.4267, 43.4214) * CHOOSE(CONTROL!$C$15, $D$11, 100%, $F$11)</f>
        <v>43.426699999999997</v>
      </c>
      <c r="C970" s="8">
        <f>CHOOSE( CONTROL!$C$32, 43.4371, 43.4319) * CHOOSE(CONTROL!$C$15, $D$11, 100%, $F$11)</f>
        <v>43.437100000000001</v>
      </c>
      <c r="D970" s="8">
        <f>CHOOSE( CONTROL!$C$32, 43.4576, 43.4523) * CHOOSE( CONTROL!$C$15, $D$11, 100%, $F$11)</f>
        <v>43.457599999999999</v>
      </c>
      <c r="E970" s="12">
        <f>CHOOSE( CONTROL!$C$32, 43.4486, 43.4433) * CHOOSE( CONTROL!$C$15, $D$11, 100%, $F$11)</f>
        <v>43.448599999999999</v>
      </c>
      <c r="F970" s="4">
        <f>CHOOSE( CONTROL!$C$32, 44.4621, 44.4569) * CHOOSE(CONTROL!$C$15, $D$11, 100%, $F$11)</f>
        <v>44.4621</v>
      </c>
      <c r="G970" s="8">
        <f>CHOOSE( CONTROL!$C$32, 42.3365, 42.3314) * CHOOSE( CONTROL!$C$15, $D$11, 100%, $F$11)</f>
        <v>42.336500000000001</v>
      </c>
      <c r="H970" s="4">
        <f>CHOOSE( CONTROL!$C$32, 43.2642, 43.259) * CHOOSE(CONTROL!$C$15, $D$11, 100%, $F$11)</f>
        <v>43.264200000000002</v>
      </c>
      <c r="I970" s="8">
        <f>CHOOSE( CONTROL!$C$32, 41.6863, 41.6812) * CHOOSE(CONTROL!$C$15, $D$11, 100%, $F$11)</f>
        <v>41.686300000000003</v>
      </c>
      <c r="J970" s="4">
        <f>CHOOSE( CONTROL!$C$32, 41.6067, 41.6017) * CHOOSE(CONTROL!$C$15, $D$11, 100%, $F$11)</f>
        <v>41.606699999999996</v>
      </c>
      <c r="K970" s="4"/>
      <c r="L970" s="9">
        <v>28.568200000000001</v>
      </c>
      <c r="M970" s="9">
        <v>11.6745</v>
      </c>
      <c r="N970" s="9">
        <v>4.7850000000000001</v>
      </c>
      <c r="O970" s="9">
        <v>0.36249999999999999</v>
      </c>
      <c r="P970" s="9">
        <v>1.1798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CONTROL!$C$32, 45.2949, 45.2897) * CHOOSE(CONTROL!$C$15, $D$11, 100%, $F$11)</f>
        <v>45.294899999999998</v>
      </c>
      <c r="C971" s="8">
        <f>CHOOSE( CONTROL!$C$32, 45.3054, 45.3001) * CHOOSE(CONTROL!$C$15, $D$11, 100%, $F$11)</f>
        <v>45.305399999999999</v>
      </c>
      <c r="D971" s="8">
        <f>CHOOSE( CONTROL!$C$32, 45.316, 45.3107) * CHOOSE( CONTROL!$C$15, $D$11, 100%, $F$11)</f>
        <v>45.316000000000003</v>
      </c>
      <c r="E971" s="12">
        <f>CHOOSE( CONTROL!$C$32, 45.3106, 45.3053) * CHOOSE( CONTROL!$C$15, $D$11, 100%, $F$11)</f>
        <v>45.310600000000001</v>
      </c>
      <c r="F971" s="4">
        <f>CHOOSE( CONTROL!$C$32, 46.3304, 46.3251) * CHOOSE(CONTROL!$C$15, $D$11, 100%, $F$11)</f>
        <v>46.330399999999997</v>
      </c>
      <c r="G971" s="8">
        <f>CHOOSE( CONTROL!$C$32, 44.1444, 44.1393) * CHOOSE( CONTROL!$C$15, $D$11, 100%, $F$11)</f>
        <v>44.144399999999997</v>
      </c>
      <c r="H971" s="4">
        <f>CHOOSE( CONTROL!$C$32, 45.0852, 45.0801) * CHOOSE(CONTROL!$C$15, $D$11, 100%, $F$11)</f>
        <v>45.0852</v>
      </c>
      <c r="I971" s="8">
        <f>CHOOSE( CONTROL!$C$32, 43.4807, 43.4757) * CHOOSE(CONTROL!$C$15, $D$11, 100%, $F$11)</f>
        <v>43.480699999999999</v>
      </c>
      <c r="J971" s="4">
        <f>CHOOSE( CONTROL!$C$32, 43.3968, 43.3918) * CHOOSE(CONTROL!$C$15, $D$11, 100%, $F$11)</f>
        <v>43.396799999999999</v>
      </c>
      <c r="K971" s="4"/>
      <c r="L971" s="9">
        <v>29.520499999999998</v>
      </c>
      <c r="M971" s="9">
        <v>12.063700000000001</v>
      </c>
      <c r="N971" s="9">
        <v>4.9444999999999997</v>
      </c>
      <c r="O971" s="9">
        <v>0.37459999999999999</v>
      </c>
      <c r="P971" s="9">
        <v>1.2192000000000001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CONTROL!$C$32, 41.7993, 41.794) * CHOOSE(CONTROL!$C$15, $D$11, 100%, $F$11)</f>
        <v>41.799300000000002</v>
      </c>
      <c r="C972" s="8">
        <f>CHOOSE( CONTROL!$C$32, 41.8097, 41.8045) * CHOOSE(CONTROL!$C$15, $D$11, 100%, $F$11)</f>
        <v>41.809699999999999</v>
      </c>
      <c r="D972" s="8">
        <f>CHOOSE( CONTROL!$C$32, 41.8206, 41.8154) * CHOOSE( CONTROL!$C$15, $D$11, 100%, $F$11)</f>
        <v>41.820599999999999</v>
      </c>
      <c r="E972" s="12">
        <f>CHOOSE( CONTROL!$C$32, 41.8151, 41.8098) * CHOOSE( CONTROL!$C$15, $D$11, 100%, $F$11)</f>
        <v>41.815100000000001</v>
      </c>
      <c r="F972" s="4">
        <f>CHOOSE( CONTROL!$C$32, 42.8347, 42.8294) * CHOOSE(CONTROL!$C$15, $D$11, 100%, $F$11)</f>
        <v>42.834699999999998</v>
      </c>
      <c r="G972" s="8">
        <f>CHOOSE( CONTROL!$C$32, 40.7374, 40.7323) * CHOOSE( CONTROL!$C$15, $D$11, 100%, $F$11)</f>
        <v>40.737400000000001</v>
      </c>
      <c r="H972" s="4">
        <f>CHOOSE( CONTROL!$C$32, 41.6778, 41.6727) * CHOOSE(CONTROL!$C$15, $D$11, 100%, $F$11)</f>
        <v>41.677799999999998</v>
      </c>
      <c r="I972" s="8">
        <f>CHOOSE( CONTROL!$C$32, 40.1311, 40.1261) * CHOOSE(CONTROL!$C$15, $D$11, 100%, $F$11)</f>
        <v>40.131100000000004</v>
      </c>
      <c r="J972" s="4">
        <f>CHOOSE( CONTROL!$C$32, 40.0473, 40.0423) * CHOOSE(CONTROL!$C$15, $D$11, 100%, $F$11)</f>
        <v>40.0473</v>
      </c>
      <c r="K972" s="4"/>
      <c r="L972" s="9">
        <v>29.520499999999998</v>
      </c>
      <c r="M972" s="9">
        <v>12.063700000000001</v>
      </c>
      <c r="N972" s="9">
        <v>4.9444999999999997</v>
      </c>
      <c r="O972" s="9">
        <v>0.37459999999999999</v>
      </c>
      <c r="P972" s="9">
        <v>1.2192000000000001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CONTROL!$C$32, 40.9239, 40.9187) * CHOOSE(CONTROL!$C$15, $D$11, 100%, $F$11)</f>
        <v>40.923900000000003</v>
      </c>
      <c r="C973" s="8">
        <f>CHOOSE( CONTROL!$C$32, 40.9344, 40.9291) * CHOOSE(CONTROL!$C$15, $D$11, 100%, $F$11)</f>
        <v>40.934399999999997</v>
      </c>
      <c r="D973" s="8">
        <f>CHOOSE( CONTROL!$C$32, 40.9454, 40.9402) * CHOOSE( CONTROL!$C$15, $D$11, 100%, $F$11)</f>
        <v>40.945399999999999</v>
      </c>
      <c r="E973" s="12">
        <f>CHOOSE( CONTROL!$C$32, 40.9398, 40.9346) * CHOOSE( CONTROL!$C$15, $D$11, 100%, $F$11)</f>
        <v>40.939799999999998</v>
      </c>
      <c r="F973" s="4">
        <f>CHOOSE( CONTROL!$C$32, 41.9594, 41.9541) * CHOOSE(CONTROL!$C$15, $D$11, 100%, $F$11)</f>
        <v>41.959400000000002</v>
      </c>
      <c r="G973" s="8">
        <f>CHOOSE( CONTROL!$C$32, 39.8844, 39.8792) * CHOOSE( CONTROL!$C$15, $D$11, 100%, $F$11)</f>
        <v>39.884399999999999</v>
      </c>
      <c r="H973" s="4">
        <f>CHOOSE( CONTROL!$C$32, 40.8245, 40.8194) * CHOOSE(CONTROL!$C$15, $D$11, 100%, $F$11)</f>
        <v>40.8245</v>
      </c>
      <c r="I973" s="8">
        <f>CHOOSE( CONTROL!$C$32, 39.2926, 39.2876) * CHOOSE(CONTROL!$C$15, $D$11, 100%, $F$11)</f>
        <v>39.2926</v>
      </c>
      <c r="J973" s="4">
        <f>CHOOSE( CONTROL!$C$32, 39.2085, 39.2035) * CHOOSE(CONTROL!$C$15, $D$11, 100%, $F$11)</f>
        <v>39.208500000000001</v>
      </c>
      <c r="K973" s="4"/>
      <c r="L973" s="9">
        <v>28.568200000000001</v>
      </c>
      <c r="M973" s="9">
        <v>11.6745</v>
      </c>
      <c r="N973" s="9">
        <v>4.7850000000000001</v>
      </c>
      <c r="O973" s="9">
        <v>0.36249999999999999</v>
      </c>
      <c r="P973" s="9">
        <v>1.1798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42.7362 * CHOOSE(CONTROL!$C$15, $D$11, 100%, $F$11)</f>
        <v>42.736199999999997</v>
      </c>
      <c r="C974" s="8">
        <f>42.7466 * CHOOSE(CONTROL!$C$15, $D$11, 100%, $F$11)</f>
        <v>42.746600000000001</v>
      </c>
      <c r="D974" s="8">
        <f>42.759 * CHOOSE( CONTROL!$C$15, $D$11, 100%, $F$11)</f>
        <v>42.759</v>
      </c>
      <c r="E974" s="12">
        <f>42.7538 * CHOOSE( CONTROL!$C$15, $D$11, 100%, $F$11)</f>
        <v>42.753799999999998</v>
      </c>
      <c r="F974" s="4">
        <f>43.7716 * CHOOSE(CONTROL!$C$15, $D$11, 100%, $F$11)</f>
        <v>43.771599999999999</v>
      </c>
      <c r="G974" s="8">
        <f>41.6503 * CHOOSE( CONTROL!$C$15, $D$11, 100%, $F$11)</f>
        <v>41.650300000000001</v>
      </c>
      <c r="H974" s="4">
        <f>42.5911 * CHOOSE(CONTROL!$C$15, $D$11, 100%, $F$11)</f>
        <v>42.591099999999997</v>
      </c>
      <c r="I974" s="8">
        <f>41.0314 * CHOOSE(CONTROL!$C$15, $D$11, 100%, $F$11)</f>
        <v>41.031399999999998</v>
      </c>
      <c r="J974" s="4">
        <f>40.9451 * CHOOSE(CONTROL!$C$15, $D$11, 100%, $F$11)</f>
        <v>40.945099999999996</v>
      </c>
      <c r="K974" s="4"/>
      <c r="L974" s="9">
        <v>28.921800000000001</v>
      </c>
      <c r="M974" s="9">
        <v>12.063700000000001</v>
      </c>
      <c r="N974" s="9">
        <v>4.9444999999999997</v>
      </c>
      <c r="O974" s="9">
        <v>0.37459999999999999</v>
      </c>
      <c r="P974" s="9">
        <v>1.2192000000000001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46.091 * CHOOSE(CONTROL!$C$15, $D$11, 100%, $F$11)</f>
        <v>46.091000000000001</v>
      </c>
      <c r="C975" s="8">
        <f>46.1014 * CHOOSE(CONTROL!$C$15, $D$11, 100%, $F$11)</f>
        <v>46.101399999999998</v>
      </c>
      <c r="D975" s="8">
        <f>46.0852 * CHOOSE( CONTROL!$C$15, $D$11, 100%, $F$11)</f>
        <v>46.0852</v>
      </c>
      <c r="E975" s="12">
        <f>46.09 * CHOOSE( CONTROL!$C$15, $D$11, 100%, $F$11)</f>
        <v>46.09</v>
      </c>
      <c r="F975" s="4">
        <f>47.0852 * CHOOSE(CONTROL!$C$15, $D$11, 100%, $F$11)</f>
        <v>47.0852</v>
      </c>
      <c r="G975" s="8">
        <f>44.9414 * CHOOSE( CONTROL!$C$15, $D$11, 100%, $F$11)</f>
        <v>44.941400000000002</v>
      </c>
      <c r="H975" s="4">
        <f>45.821 * CHOOSE(CONTROL!$C$15, $D$11, 100%, $F$11)</f>
        <v>45.820999999999998</v>
      </c>
      <c r="I975" s="8">
        <f>44.2844 * CHOOSE(CONTROL!$C$15, $D$11, 100%, $F$11)</f>
        <v>44.284399999999998</v>
      </c>
      <c r="J975" s="4">
        <f>44.1596 * CHOOSE(CONTROL!$C$15, $D$11, 100%, $F$11)</f>
        <v>44.159599999999998</v>
      </c>
      <c r="K975" s="4"/>
      <c r="L975" s="9">
        <v>26.515499999999999</v>
      </c>
      <c r="M975" s="9">
        <v>11.6745</v>
      </c>
      <c r="N975" s="9">
        <v>4.7850000000000001</v>
      </c>
      <c r="O975" s="9">
        <v>0.36249999999999999</v>
      </c>
      <c r="P975" s="9">
        <v>1.2522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46.0072 * CHOOSE(CONTROL!$C$15, $D$11, 100%, $F$11)</f>
        <v>46.007199999999997</v>
      </c>
      <c r="C976" s="8">
        <f>46.0176 * CHOOSE(CONTROL!$C$15, $D$11, 100%, $F$11)</f>
        <v>46.017600000000002</v>
      </c>
      <c r="D976" s="8">
        <f>46.0037 * CHOOSE( CONTROL!$C$15, $D$11, 100%, $F$11)</f>
        <v>46.003700000000002</v>
      </c>
      <c r="E976" s="12">
        <f>46.0077 * CHOOSE( CONTROL!$C$15, $D$11, 100%, $F$11)</f>
        <v>46.0077</v>
      </c>
      <c r="F976" s="4">
        <f>47.0014 * CHOOSE(CONTROL!$C$15, $D$11, 100%, $F$11)</f>
        <v>47.001399999999997</v>
      </c>
      <c r="G976" s="8">
        <f>44.8615 * CHOOSE( CONTROL!$C$15, $D$11, 100%, $F$11)</f>
        <v>44.861499999999999</v>
      </c>
      <c r="H976" s="4">
        <f>45.7393 * CHOOSE(CONTROL!$C$15, $D$11, 100%, $F$11)</f>
        <v>45.7393</v>
      </c>
      <c r="I976" s="8">
        <f>44.2117 * CHOOSE(CONTROL!$C$15, $D$11, 100%, $F$11)</f>
        <v>44.2117</v>
      </c>
      <c r="J976" s="4">
        <f>44.0793 * CHOOSE(CONTROL!$C$15, $D$11, 100%, $F$11)</f>
        <v>44.079300000000003</v>
      </c>
      <c r="K976" s="4"/>
      <c r="L976" s="9">
        <v>27.3993</v>
      </c>
      <c r="M976" s="9">
        <v>12.063700000000001</v>
      </c>
      <c r="N976" s="9">
        <v>4.9444999999999997</v>
      </c>
      <c r="O976" s="9">
        <v>0.37459999999999999</v>
      </c>
      <c r="P976" s="9">
        <v>1.2939000000000001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47.7653 * CHOOSE(CONTROL!$C$15, $D$11, 100%, $F$11)</f>
        <v>47.765300000000003</v>
      </c>
      <c r="C977" s="8">
        <f>47.7758 * CHOOSE(CONTROL!$C$15, $D$11, 100%, $F$11)</f>
        <v>47.775799999999997</v>
      </c>
      <c r="D977" s="8">
        <f>47.7751 * CHOOSE( CONTROL!$C$15, $D$11, 100%, $F$11)</f>
        <v>47.775100000000002</v>
      </c>
      <c r="E977" s="12">
        <f>47.7742 * CHOOSE( CONTROL!$C$15, $D$11, 100%, $F$11)</f>
        <v>47.7742</v>
      </c>
      <c r="F977" s="4">
        <f>48.7883 * CHOOSE(CONTROL!$C$15, $D$11, 100%, $F$11)</f>
        <v>48.7883</v>
      </c>
      <c r="G977" s="8">
        <f>46.5888 * CHOOSE( CONTROL!$C$15, $D$11, 100%, $F$11)</f>
        <v>46.588799999999999</v>
      </c>
      <c r="H977" s="4">
        <f>47.4811 * CHOOSE(CONTROL!$C$15, $D$11, 100%, $F$11)</f>
        <v>47.481099999999998</v>
      </c>
      <c r="I977" s="8">
        <f>45.8955 * CHOOSE(CONTROL!$C$15, $D$11, 100%, $F$11)</f>
        <v>45.895499999999998</v>
      </c>
      <c r="J977" s="4">
        <f>45.764 * CHOOSE(CONTROL!$C$15, $D$11, 100%, $F$11)</f>
        <v>45.764000000000003</v>
      </c>
      <c r="K977" s="4"/>
      <c r="L977" s="9">
        <v>27.3993</v>
      </c>
      <c r="M977" s="9">
        <v>12.063700000000001</v>
      </c>
      <c r="N977" s="9">
        <v>4.9444999999999997</v>
      </c>
      <c r="O977" s="9">
        <v>0.37459999999999999</v>
      </c>
      <c r="P977" s="9">
        <v>1.2939000000000001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44.6777 * CHOOSE(CONTROL!$C$15, $D$11, 100%, $F$11)</f>
        <v>44.677700000000002</v>
      </c>
      <c r="C978" s="8">
        <f>44.6882 * CHOOSE(CONTROL!$C$15, $D$11, 100%, $F$11)</f>
        <v>44.688200000000002</v>
      </c>
      <c r="D978" s="8">
        <f>44.6897 * CHOOSE( CONTROL!$C$15, $D$11, 100%, $F$11)</f>
        <v>44.689700000000002</v>
      </c>
      <c r="E978" s="12">
        <f>44.688 * CHOOSE( CONTROL!$C$15, $D$11, 100%, $F$11)</f>
        <v>44.688000000000002</v>
      </c>
      <c r="F978" s="4">
        <f>45.6928 * CHOOSE(CONTROL!$C$15, $D$11, 100%, $F$11)</f>
        <v>45.692799999999998</v>
      </c>
      <c r="G978" s="8">
        <f>43.5789 * CHOOSE( CONTROL!$C$15, $D$11, 100%, $F$11)</f>
        <v>43.578899999999997</v>
      </c>
      <c r="H978" s="4">
        <f>44.4638 * CHOOSE(CONTROL!$C$15, $D$11, 100%, $F$11)</f>
        <v>44.463799999999999</v>
      </c>
      <c r="I978" s="8">
        <f>42.9245 * CHOOSE(CONTROL!$C$15, $D$11, 100%, $F$11)</f>
        <v>42.924500000000002</v>
      </c>
      <c r="J978" s="4">
        <f>42.8054 * CHOOSE(CONTROL!$C$15, $D$11, 100%, $F$11)</f>
        <v>42.805399999999999</v>
      </c>
      <c r="K978" s="4"/>
      <c r="L978" s="9">
        <v>25.631599999999999</v>
      </c>
      <c r="M978" s="9">
        <v>11.285299999999999</v>
      </c>
      <c r="N978" s="9">
        <v>4.6254999999999997</v>
      </c>
      <c r="O978" s="9">
        <v>0.35039999999999999</v>
      </c>
      <c r="P978" s="9">
        <v>1.2104999999999999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43.7267 * CHOOSE(CONTROL!$C$15, $D$11, 100%, $F$11)</f>
        <v>43.726700000000001</v>
      </c>
      <c r="C979" s="8">
        <f>43.7372 * CHOOSE(CONTROL!$C$15, $D$11, 100%, $F$11)</f>
        <v>43.737200000000001</v>
      </c>
      <c r="D979" s="8">
        <f>43.7182 * CHOOSE( CONTROL!$C$15, $D$11, 100%, $F$11)</f>
        <v>43.718200000000003</v>
      </c>
      <c r="E979" s="12">
        <f>43.724 * CHOOSE( CONTROL!$C$15, $D$11, 100%, $F$11)</f>
        <v>43.723999999999997</v>
      </c>
      <c r="F979" s="4">
        <f>44.7256 * CHOOSE(CONTROL!$C$15, $D$11, 100%, $F$11)</f>
        <v>44.7256</v>
      </c>
      <c r="G979" s="8">
        <f>42.6312 * CHOOSE( CONTROL!$C$15, $D$11, 100%, $F$11)</f>
        <v>42.6312</v>
      </c>
      <c r="H979" s="4">
        <f>43.521 * CHOOSE(CONTROL!$C$15, $D$11, 100%, $F$11)</f>
        <v>43.521000000000001</v>
      </c>
      <c r="I979" s="8">
        <f>41.9733 * CHOOSE(CONTROL!$C$15, $D$11, 100%, $F$11)</f>
        <v>41.973300000000002</v>
      </c>
      <c r="J979" s="4">
        <f>41.8942 * CHOOSE(CONTROL!$C$15, $D$11, 100%, $F$11)</f>
        <v>41.894199999999998</v>
      </c>
      <c r="K979" s="4"/>
      <c r="L979" s="9">
        <v>27.3993</v>
      </c>
      <c r="M979" s="9">
        <v>12.063700000000001</v>
      </c>
      <c r="N979" s="9">
        <v>4.9444999999999997</v>
      </c>
      <c r="O979" s="9">
        <v>0.37459999999999999</v>
      </c>
      <c r="P979" s="9">
        <v>1.2939000000000001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44.3913 * CHOOSE(CONTROL!$C$15, $D$11, 100%, $F$11)</f>
        <v>44.391300000000001</v>
      </c>
      <c r="C980" s="8">
        <f>44.4017 * CHOOSE(CONTROL!$C$15, $D$11, 100%, $F$11)</f>
        <v>44.401699999999998</v>
      </c>
      <c r="D980" s="8">
        <f>44.4057 * CHOOSE( CONTROL!$C$15, $D$11, 100%, $F$11)</f>
        <v>44.405700000000003</v>
      </c>
      <c r="E980" s="12">
        <f>44.4032 * CHOOSE( CONTROL!$C$15, $D$11, 100%, $F$11)</f>
        <v>44.403199999999998</v>
      </c>
      <c r="F980" s="4">
        <f>45.3985 * CHOOSE(CONTROL!$C$15, $D$11, 100%, $F$11)</f>
        <v>45.398499999999999</v>
      </c>
      <c r="G980" s="8">
        <f>43.2673 * CHOOSE( CONTROL!$C$15, $D$11, 100%, $F$11)</f>
        <v>43.267299999999999</v>
      </c>
      <c r="H980" s="4">
        <f>44.1769 * CHOOSE(CONTROL!$C$15, $D$11, 100%, $F$11)</f>
        <v>44.176900000000003</v>
      </c>
      <c r="I980" s="8">
        <f>42.6005 * CHOOSE(CONTROL!$C$15, $D$11, 100%, $F$11)</f>
        <v>42.600499999999997</v>
      </c>
      <c r="J980" s="4">
        <f>42.531 * CHOOSE(CONTROL!$C$15, $D$11, 100%, $F$11)</f>
        <v>42.530999999999999</v>
      </c>
      <c r="K980" s="4"/>
      <c r="L980" s="9">
        <v>27.988800000000001</v>
      </c>
      <c r="M980" s="9">
        <v>11.6745</v>
      </c>
      <c r="N980" s="9">
        <v>4.7850000000000001</v>
      </c>
      <c r="O980" s="9">
        <v>0.36249999999999999</v>
      </c>
      <c r="P980" s="9">
        <v>1.1798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CONTROL!$C$32, 45.5792, 45.574) * CHOOSE(CONTROL!$C$15, $D$11, 100%, $F$11)</f>
        <v>45.5792</v>
      </c>
      <c r="C981" s="8">
        <f>CHOOSE( CONTROL!$C$32, 45.5897, 45.5844) * CHOOSE(CONTROL!$C$15, $D$11, 100%, $F$11)</f>
        <v>45.589700000000001</v>
      </c>
      <c r="D981" s="8">
        <f>CHOOSE( CONTROL!$C$32, 45.6025, 45.5972) * CHOOSE( CONTROL!$C$15, $D$11, 100%, $F$11)</f>
        <v>45.602499999999999</v>
      </c>
      <c r="E981" s="12">
        <f>CHOOSE( CONTROL!$C$32, 45.5963, 45.591) * CHOOSE( CONTROL!$C$15, $D$11, 100%, $F$11)</f>
        <v>45.596299999999999</v>
      </c>
      <c r="F981" s="4">
        <f>CHOOSE( CONTROL!$C$32, 46.6021, 46.5969) * CHOOSE(CONTROL!$C$15, $D$11, 100%, $F$11)</f>
        <v>46.6021</v>
      </c>
      <c r="G981" s="8">
        <f>CHOOSE( CONTROL!$C$32, 44.4309, 44.4258) * CHOOSE( CONTROL!$C$15, $D$11, 100%, $F$11)</f>
        <v>44.430900000000001</v>
      </c>
      <c r="H981" s="4">
        <f>CHOOSE( CONTROL!$C$32, 45.3502, 45.345) * CHOOSE(CONTROL!$C$15, $D$11, 100%, $F$11)</f>
        <v>45.350200000000001</v>
      </c>
      <c r="I981" s="8">
        <f>CHOOSE( CONTROL!$C$32, 43.7446, 43.7396) * CHOOSE(CONTROL!$C$15, $D$11, 100%, $F$11)</f>
        <v>43.744599999999998</v>
      </c>
      <c r="J981" s="4">
        <f>CHOOSE( CONTROL!$C$32, 43.6693, 43.6642) * CHOOSE(CONTROL!$C$15, $D$11, 100%, $F$11)</f>
        <v>43.6693</v>
      </c>
      <c r="K981" s="4"/>
      <c r="L981" s="9">
        <v>29.520499999999998</v>
      </c>
      <c r="M981" s="9">
        <v>12.063700000000001</v>
      </c>
      <c r="N981" s="9">
        <v>4.9444999999999997</v>
      </c>
      <c r="O981" s="9">
        <v>0.37459999999999999</v>
      </c>
      <c r="P981" s="9">
        <v>1.2192000000000001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CONTROL!$C$32, 44.8466, 44.8413) * CHOOSE(CONTROL!$C$15, $D$11, 100%, $F$11)</f>
        <v>44.846600000000002</v>
      </c>
      <c r="C982" s="8">
        <f>CHOOSE( CONTROL!$C$32, 44.857, 44.8518) * CHOOSE(CONTROL!$C$15, $D$11, 100%, $F$11)</f>
        <v>44.856999999999999</v>
      </c>
      <c r="D982" s="8">
        <f>CHOOSE( CONTROL!$C$32, 44.8774, 44.8722) * CHOOSE( CONTROL!$C$15, $D$11, 100%, $F$11)</f>
        <v>44.877400000000002</v>
      </c>
      <c r="E982" s="12">
        <f>CHOOSE( CONTROL!$C$32, 44.8684, 44.8632) * CHOOSE( CONTROL!$C$15, $D$11, 100%, $F$11)</f>
        <v>44.868400000000001</v>
      </c>
      <c r="F982" s="4">
        <f>CHOOSE( CONTROL!$C$32, 45.882, 45.8768) * CHOOSE(CONTROL!$C$15, $D$11, 100%, $F$11)</f>
        <v>45.881999999999998</v>
      </c>
      <c r="G982" s="8">
        <f>CHOOSE( CONTROL!$C$32, 43.7206, 43.7155) * CHOOSE( CONTROL!$C$15, $D$11, 100%, $F$11)</f>
        <v>43.720599999999997</v>
      </c>
      <c r="H982" s="4">
        <f>CHOOSE( CONTROL!$C$32, 44.6482, 44.6431) * CHOOSE(CONTROL!$C$15, $D$11, 100%, $F$11)</f>
        <v>44.648200000000003</v>
      </c>
      <c r="I982" s="8">
        <f>CHOOSE( CONTROL!$C$32, 43.0475, 43.0425) * CHOOSE(CONTROL!$C$15, $D$11, 100%, $F$11)</f>
        <v>43.047499999999999</v>
      </c>
      <c r="J982" s="4">
        <f>CHOOSE( CONTROL!$C$32, 42.9672, 42.9622) * CHOOSE(CONTROL!$C$15, $D$11, 100%, $F$11)</f>
        <v>42.967199999999998</v>
      </c>
      <c r="K982" s="4"/>
      <c r="L982" s="9">
        <v>28.568200000000001</v>
      </c>
      <c r="M982" s="9">
        <v>11.6745</v>
      </c>
      <c r="N982" s="9">
        <v>4.7850000000000001</v>
      </c>
      <c r="O982" s="9">
        <v>0.36249999999999999</v>
      </c>
      <c r="P982" s="9">
        <v>1.1798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CONTROL!$C$32, 46.7759, 46.7706) * CHOOSE(CONTROL!$C$15, $D$11, 100%, $F$11)</f>
        <v>46.7759</v>
      </c>
      <c r="C983" s="8">
        <f>CHOOSE( CONTROL!$C$32, 46.7863, 46.7811) * CHOOSE(CONTROL!$C$15, $D$11, 100%, $F$11)</f>
        <v>46.786299999999997</v>
      </c>
      <c r="D983" s="8">
        <f>CHOOSE( CONTROL!$C$32, 46.7969, 46.7917) * CHOOSE( CONTROL!$C$15, $D$11, 100%, $F$11)</f>
        <v>46.796900000000001</v>
      </c>
      <c r="E983" s="12">
        <f>CHOOSE( CONTROL!$C$32, 46.7915, 46.7863) * CHOOSE( CONTROL!$C$15, $D$11, 100%, $F$11)</f>
        <v>46.791499999999999</v>
      </c>
      <c r="F983" s="4">
        <f>CHOOSE( CONTROL!$C$32, 47.8113, 47.8061) * CHOOSE(CONTROL!$C$15, $D$11, 100%, $F$11)</f>
        <v>47.811300000000003</v>
      </c>
      <c r="G983" s="8">
        <f>CHOOSE( CONTROL!$C$32, 45.588, 45.5829) * CHOOSE( CONTROL!$C$15, $D$11, 100%, $F$11)</f>
        <v>45.588000000000001</v>
      </c>
      <c r="H983" s="4">
        <f>CHOOSE( CONTROL!$C$32, 46.5289, 46.5237) * CHOOSE(CONTROL!$C$15, $D$11, 100%, $F$11)</f>
        <v>46.5289</v>
      </c>
      <c r="I983" s="8">
        <f>CHOOSE( CONTROL!$C$32, 44.9005, 44.8954) * CHOOSE(CONTROL!$C$15, $D$11, 100%, $F$11)</f>
        <v>44.900500000000001</v>
      </c>
      <c r="J983" s="4">
        <f>CHOOSE( CONTROL!$C$32, 44.8159, 44.8109) * CHOOSE(CONTROL!$C$15, $D$11, 100%, $F$11)</f>
        <v>44.815899999999999</v>
      </c>
      <c r="K983" s="4"/>
      <c r="L983" s="9">
        <v>29.520499999999998</v>
      </c>
      <c r="M983" s="9">
        <v>12.063700000000001</v>
      </c>
      <c r="N983" s="9">
        <v>4.9444999999999997</v>
      </c>
      <c r="O983" s="9">
        <v>0.37459999999999999</v>
      </c>
      <c r="P983" s="9">
        <v>1.2192000000000001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CONTROL!$C$32, 43.1659, 43.1607) * CHOOSE(CONTROL!$C$15, $D$11, 100%, $F$11)</f>
        <v>43.165900000000001</v>
      </c>
      <c r="C984" s="8">
        <f>CHOOSE( CONTROL!$C$32, 43.1764, 43.1711) * CHOOSE(CONTROL!$C$15, $D$11, 100%, $F$11)</f>
        <v>43.176400000000001</v>
      </c>
      <c r="D984" s="8">
        <f>CHOOSE( CONTROL!$C$32, 43.1873, 43.182) * CHOOSE( CONTROL!$C$15, $D$11, 100%, $F$11)</f>
        <v>43.1873</v>
      </c>
      <c r="E984" s="12">
        <f>CHOOSE( CONTROL!$C$32, 43.1817, 43.1765) * CHOOSE( CONTROL!$C$15, $D$11, 100%, $F$11)</f>
        <v>43.181699999999999</v>
      </c>
      <c r="F984" s="4">
        <f>CHOOSE( CONTROL!$C$32, 44.2014, 44.1961) * CHOOSE(CONTROL!$C$15, $D$11, 100%, $F$11)</f>
        <v>44.2014</v>
      </c>
      <c r="G984" s="8">
        <f>CHOOSE( CONTROL!$C$32, 42.0696, 42.0645) * CHOOSE( CONTROL!$C$15, $D$11, 100%, $F$11)</f>
        <v>42.069600000000001</v>
      </c>
      <c r="H984" s="4">
        <f>CHOOSE( CONTROL!$C$32, 43.01, 43.0048) * CHOOSE(CONTROL!$C$15, $D$11, 100%, $F$11)</f>
        <v>43.01</v>
      </c>
      <c r="I984" s="8">
        <f>CHOOSE( CONTROL!$C$32, 41.4413, 41.4363) * CHOOSE(CONTROL!$C$15, $D$11, 100%, $F$11)</f>
        <v>41.441299999999998</v>
      </c>
      <c r="J984" s="4">
        <f>CHOOSE( CONTROL!$C$32, 41.3568, 41.3518) * CHOOSE(CONTROL!$C$15, $D$11, 100%, $F$11)</f>
        <v>41.3568</v>
      </c>
      <c r="K984" s="4"/>
      <c r="L984" s="9">
        <v>29.520499999999998</v>
      </c>
      <c r="M984" s="9">
        <v>12.063700000000001</v>
      </c>
      <c r="N984" s="9">
        <v>4.9444999999999997</v>
      </c>
      <c r="O984" s="9">
        <v>0.37459999999999999</v>
      </c>
      <c r="P984" s="9">
        <v>1.2192000000000001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CONTROL!$C$32, 42.262, 42.2567) * CHOOSE(CONTROL!$C$15, $D$11, 100%, $F$11)</f>
        <v>42.262</v>
      </c>
      <c r="C985" s="8">
        <f>CHOOSE( CONTROL!$C$32, 42.2724, 42.2671) * CHOOSE(CONTROL!$C$15, $D$11, 100%, $F$11)</f>
        <v>42.272399999999998</v>
      </c>
      <c r="D985" s="8">
        <f>CHOOSE( CONTROL!$C$32, 42.2835, 42.2782) * CHOOSE( CONTROL!$C$15, $D$11, 100%, $F$11)</f>
        <v>42.283499999999997</v>
      </c>
      <c r="E985" s="12">
        <f>CHOOSE( CONTROL!$C$32, 42.2779, 42.2726) * CHOOSE( CONTROL!$C$15, $D$11, 100%, $F$11)</f>
        <v>42.277900000000002</v>
      </c>
      <c r="F985" s="4">
        <f>CHOOSE( CONTROL!$C$32, 43.2974, 43.2921) * CHOOSE(CONTROL!$C$15, $D$11, 100%, $F$11)</f>
        <v>43.297400000000003</v>
      </c>
      <c r="G985" s="8">
        <f>CHOOSE( CONTROL!$C$32, 41.1886, 41.1835) * CHOOSE( CONTROL!$C$15, $D$11, 100%, $F$11)</f>
        <v>41.188600000000001</v>
      </c>
      <c r="H985" s="4">
        <f>CHOOSE( CONTROL!$C$32, 42.1288, 42.1237) * CHOOSE(CONTROL!$C$15, $D$11, 100%, $F$11)</f>
        <v>42.128799999999998</v>
      </c>
      <c r="I985" s="8">
        <f>CHOOSE( CONTROL!$C$32, 40.5754, 40.5703) * CHOOSE(CONTROL!$C$15, $D$11, 100%, $F$11)</f>
        <v>40.575400000000002</v>
      </c>
      <c r="J985" s="4">
        <f>CHOOSE( CONTROL!$C$32, 40.4906, 40.4856) * CHOOSE(CONTROL!$C$15, $D$11, 100%, $F$11)</f>
        <v>40.490600000000001</v>
      </c>
      <c r="K985" s="4"/>
      <c r="L985" s="9">
        <v>28.568200000000001</v>
      </c>
      <c r="M985" s="9">
        <v>11.6745</v>
      </c>
      <c r="N985" s="9">
        <v>4.7850000000000001</v>
      </c>
      <c r="O985" s="9">
        <v>0.36249999999999999</v>
      </c>
      <c r="P985" s="9">
        <v>1.1798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44.1337 * CHOOSE(CONTROL!$C$15, $D$11, 100%, $F$11)</f>
        <v>44.133699999999997</v>
      </c>
      <c r="C986" s="8">
        <f>44.1441 * CHOOSE(CONTROL!$C$15, $D$11, 100%, $F$11)</f>
        <v>44.144100000000002</v>
      </c>
      <c r="D986" s="8">
        <f>44.1565 * CHOOSE( CONTROL!$C$15, $D$11, 100%, $F$11)</f>
        <v>44.156500000000001</v>
      </c>
      <c r="E986" s="12">
        <f>44.1513 * CHOOSE( CONTROL!$C$15, $D$11, 100%, $F$11)</f>
        <v>44.151299999999999</v>
      </c>
      <c r="F986" s="4">
        <f>45.1691 * CHOOSE(CONTROL!$C$15, $D$11, 100%, $F$11)</f>
        <v>45.1691</v>
      </c>
      <c r="G986" s="8">
        <f>43.0125 * CHOOSE( CONTROL!$C$15, $D$11, 100%, $F$11)</f>
        <v>43.012500000000003</v>
      </c>
      <c r="H986" s="4">
        <f>43.9533 * CHOOSE(CONTROL!$C$15, $D$11, 100%, $F$11)</f>
        <v>43.953299999999999</v>
      </c>
      <c r="I986" s="8">
        <f>42.3711 * CHOOSE(CONTROL!$C$15, $D$11, 100%, $F$11)</f>
        <v>42.371099999999998</v>
      </c>
      <c r="J986" s="4">
        <f>42.2841 * CHOOSE(CONTROL!$C$15, $D$11, 100%, $F$11)</f>
        <v>42.284100000000002</v>
      </c>
      <c r="K986" s="4"/>
      <c r="L986" s="9">
        <v>28.921800000000001</v>
      </c>
      <c r="M986" s="9">
        <v>12.063700000000001</v>
      </c>
      <c r="N986" s="9">
        <v>4.9444999999999997</v>
      </c>
      <c r="O986" s="9">
        <v>0.37459999999999999</v>
      </c>
      <c r="P986" s="9">
        <v>1.2192000000000001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47.5982 * CHOOSE(CONTROL!$C$15, $D$11, 100%, $F$11)</f>
        <v>47.598199999999999</v>
      </c>
      <c r="C987" s="8">
        <f>47.6086 * CHOOSE(CONTROL!$C$15, $D$11, 100%, $F$11)</f>
        <v>47.608600000000003</v>
      </c>
      <c r="D987" s="8">
        <f>47.5924 * CHOOSE( CONTROL!$C$15, $D$11, 100%, $F$11)</f>
        <v>47.592399999999998</v>
      </c>
      <c r="E987" s="12">
        <f>47.5972 * CHOOSE( CONTROL!$C$15, $D$11, 100%, $F$11)</f>
        <v>47.597200000000001</v>
      </c>
      <c r="F987" s="4">
        <f>48.5924 * CHOOSE(CONTROL!$C$15, $D$11, 100%, $F$11)</f>
        <v>48.592399999999998</v>
      </c>
      <c r="G987" s="8">
        <f>46.4106 * CHOOSE( CONTROL!$C$15, $D$11, 100%, $F$11)</f>
        <v>46.410600000000002</v>
      </c>
      <c r="H987" s="4">
        <f>47.2902 * CHOOSE(CONTROL!$C$15, $D$11, 100%, $F$11)</f>
        <v>47.290199999999999</v>
      </c>
      <c r="I987" s="8">
        <f>45.7294 * CHOOSE(CONTROL!$C$15, $D$11, 100%, $F$11)</f>
        <v>45.729399999999998</v>
      </c>
      <c r="J987" s="4">
        <f>45.6038 * CHOOSE(CONTROL!$C$15, $D$11, 100%, $F$11)</f>
        <v>45.6038</v>
      </c>
      <c r="K987" s="4"/>
      <c r="L987" s="9">
        <v>26.515499999999999</v>
      </c>
      <c r="M987" s="9">
        <v>11.6745</v>
      </c>
      <c r="N987" s="9">
        <v>4.7850000000000001</v>
      </c>
      <c r="O987" s="9">
        <v>0.36249999999999999</v>
      </c>
      <c r="P987" s="9">
        <v>1.2522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47.5116 * CHOOSE(CONTROL!$C$15, $D$11, 100%, $F$11)</f>
        <v>47.511600000000001</v>
      </c>
      <c r="C988" s="8">
        <f>47.5221 * CHOOSE(CONTROL!$C$15, $D$11, 100%, $F$11)</f>
        <v>47.522100000000002</v>
      </c>
      <c r="D988" s="8">
        <f>47.5081 * CHOOSE( CONTROL!$C$15, $D$11, 100%, $F$11)</f>
        <v>47.508099999999999</v>
      </c>
      <c r="E988" s="12">
        <f>47.5121 * CHOOSE( CONTROL!$C$15, $D$11, 100%, $F$11)</f>
        <v>47.512099999999997</v>
      </c>
      <c r="F988" s="4">
        <f>48.5058 * CHOOSE(CONTROL!$C$15, $D$11, 100%, $F$11)</f>
        <v>48.505800000000001</v>
      </c>
      <c r="G988" s="8">
        <f>46.3279 * CHOOSE( CONTROL!$C$15, $D$11, 100%, $F$11)</f>
        <v>46.3279</v>
      </c>
      <c r="H988" s="4">
        <f>47.2058 * CHOOSE(CONTROL!$C$15, $D$11, 100%, $F$11)</f>
        <v>47.205800000000004</v>
      </c>
      <c r="I988" s="8">
        <f>45.6539 * CHOOSE(CONTROL!$C$15, $D$11, 100%, $F$11)</f>
        <v>45.6539</v>
      </c>
      <c r="J988" s="4">
        <f>45.5209 * CHOOSE(CONTROL!$C$15, $D$11, 100%, $F$11)</f>
        <v>45.520899999999997</v>
      </c>
      <c r="K988" s="4"/>
      <c r="L988" s="9">
        <v>27.3993</v>
      </c>
      <c r="M988" s="9">
        <v>12.063700000000001</v>
      </c>
      <c r="N988" s="9">
        <v>4.9444999999999997</v>
      </c>
      <c r="O988" s="9">
        <v>0.37459999999999999</v>
      </c>
      <c r="P988" s="9">
        <v>1.2939000000000001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49.3273 * CHOOSE(CONTROL!$C$15, $D$11, 100%, $F$11)</f>
        <v>49.327300000000001</v>
      </c>
      <c r="C989" s="8">
        <f>49.3377 * CHOOSE(CONTROL!$C$15, $D$11, 100%, $F$11)</f>
        <v>49.337699999999998</v>
      </c>
      <c r="D989" s="8">
        <f>49.3371 * CHOOSE( CONTROL!$C$15, $D$11, 100%, $F$11)</f>
        <v>49.3371</v>
      </c>
      <c r="E989" s="12">
        <f>49.3362 * CHOOSE( CONTROL!$C$15, $D$11, 100%, $F$11)</f>
        <v>49.336199999999998</v>
      </c>
      <c r="F989" s="4">
        <f>50.3502 * CHOOSE(CONTROL!$C$15, $D$11, 100%, $F$11)</f>
        <v>50.350200000000001</v>
      </c>
      <c r="G989" s="8">
        <f>48.1114 * CHOOSE( CONTROL!$C$15, $D$11, 100%, $F$11)</f>
        <v>48.111400000000003</v>
      </c>
      <c r="H989" s="4">
        <f>49.0037 * CHOOSE(CONTROL!$C$15, $D$11, 100%, $F$11)</f>
        <v>49.003700000000002</v>
      </c>
      <c r="I989" s="8">
        <f>47.3929 * CHOOSE(CONTROL!$C$15, $D$11, 100%, $F$11)</f>
        <v>47.392899999999997</v>
      </c>
      <c r="J989" s="4">
        <f>47.2607 * CHOOSE(CONTROL!$C$15, $D$11, 100%, $F$11)</f>
        <v>47.2607</v>
      </c>
      <c r="K989" s="4"/>
      <c r="L989" s="9">
        <v>27.3993</v>
      </c>
      <c r="M989" s="9">
        <v>12.063700000000001</v>
      </c>
      <c r="N989" s="9">
        <v>4.9444999999999997</v>
      </c>
      <c r="O989" s="9">
        <v>0.37459999999999999</v>
      </c>
      <c r="P989" s="9">
        <v>1.2939000000000001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46.1387 * CHOOSE(CONTROL!$C$15, $D$11, 100%, $F$11)</f>
        <v>46.1387</v>
      </c>
      <c r="C990" s="8">
        <f>46.1491 * CHOOSE(CONTROL!$C$15, $D$11, 100%, $F$11)</f>
        <v>46.149099999999997</v>
      </c>
      <c r="D990" s="8">
        <f>46.1506 * CHOOSE( CONTROL!$C$15, $D$11, 100%, $F$11)</f>
        <v>46.150599999999997</v>
      </c>
      <c r="E990" s="12">
        <f>46.1489 * CHOOSE( CONTROL!$C$15, $D$11, 100%, $F$11)</f>
        <v>46.148899999999998</v>
      </c>
      <c r="F990" s="4">
        <f>47.1538 * CHOOSE(CONTROL!$C$15, $D$11, 100%, $F$11)</f>
        <v>47.153799999999997</v>
      </c>
      <c r="G990" s="8">
        <f>45.003 * CHOOSE( CONTROL!$C$15, $D$11, 100%, $F$11)</f>
        <v>45.003</v>
      </c>
      <c r="H990" s="4">
        <f>45.8879 * CHOOSE(CONTROL!$C$15, $D$11, 100%, $F$11)</f>
        <v>45.887900000000002</v>
      </c>
      <c r="I990" s="8">
        <f>44.3251 * CHOOSE(CONTROL!$C$15, $D$11, 100%, $F$11)</f>
        <v>44.325099999999999</v>
      </c>
      <c r="J990" s="4">
        <f>44.2053 * CHOOSE(CONTROL!$C$15, $D$11, 100%, $F$11)</f>
        <v>44.205300000000001</v>
      </c>
      <c r="K990" s="4"/>
      <c r="L990" s="9">
        <v>24.747800000000002</v>
      </c>
      <c r="M990" s="9">
        <v>10.8962</v>
      </c>
      <c r="N990" s="9">
        <v>4.4660000000000002</v>
      </c>
      <c r="O990" s="9">
        <v>0.33829999999999999</v>
      </c>
      <c r="P990" s="9">
        <v>1.1687000000000001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45.1566 * CHOOSE(CONTROL!$C$15, $D$11, 100%, $F$11)</f>
        <v>45.156599999999997</v>
      </c>
      <c r="C991" s="8">
        <f>45.167 * CHOOSE(CONTROL!$C$15, $D$11, 100%, $F$11)</f>
        <v>45.167000000000002</v>
      </c>
      <c r="D991" s="8">
        <f>45.1481 * CHOOSE( CONTROL!$C$15, $D$11, 100%, $F$11)</f>
        <v>45.148099999999999</v>
      </c>
      <c r="E991" s="12">
        <f>45.1539 * CHOOSE( CONTROL!$C$15, $D$11, 100%, $F$11)</f>
        <v>45.1539</v>
      </c>
      <c r="F991" s="4">
        <f>46.1555 * CHOOSE(CONTROL!$C$15, $D$11, 100%, $F$11)</f>
        <v>46.155500000000004</v>
      </c>
      <c r="G991" s="8">
        <f>44.025 * CHOOSE( CONTROL!$C$15, $D$11, 100%, $F$11)</f>
        <v>44.024999999999999</v>
      </c>
      <c r="H991" s="4">
        <f>44.9148 * CHOOSE(CONTROL!$C$15, $D$11, 100%, $F$11)</f>
        <v>44.9148</v>
      </c>
      <c r="I991" s="8">
        <f>43.3441 * CHOOSE(CONTROL!$C$15, $D$11, 100%, $F$11)</f>
        <v>43.344099999999997</v>
      </c>
      <c r="J991" s="4">
        <f>43.2643 * CHOOSE(CONTROL!$C$15, $D$11, 100%, $F$11)</f>
        <v>43.264299999999999</v>
      </c>
      <c r="K991" s="4"/>
      <c r="L991" s="9">
        <v>27.3993</v>
      </c>
      <c r="M991" s="9">
        <v>12.063700000000001</v>
      </c>
      <c r="N991" s="9">
        <v>4.9444999999999997</v>
      </c>
      <c r="O991" s="9">
        <v>0.37459999999999999</v>
      </c>
      <c r="P991" s="9">
        <v>1.2939000000000001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45.8429 * CHOOSE(CONTROL!$C$15, $D$11, 100%, $F$11)</f>
        <v>45.8429</v>
      </c>
      <c r="C992" s="8">
        <f>45.8533 * CHOOSE(CONTROL!$C$15, $D$11, 100%, $F$11)</f>
        <v>45.853299999999997</v>
      </c>
      <c r="D992" s="8">
        <f>45.8573 * CHOOSE( CONTROL!$C$15, $D$11, 100%, $F$11)</f>
        <v>45.857300000000002</v>
      </c>
      <c r="E992" s="12">
        <f>45.8548 * CHOOSE( CONTROL!$C$15, $D$11, 100%, $F$11)</f>
        <v>45.854799999999997</v>
      </c>
      <c r="F992" s="4">
        <f>46.8501 * CHOOSE(CONTROL!$C$15, $D$11, 100%, $F$11)</f>
        <v>46.850099999999998</v>
      </c>
      <c r="G992" s="8">
        <f>44.6823 * CHOOSE( CONTROL!$C$15, $D$11, 100%, $F$11)</f>
        <v>44.682299999999998</v>
      </c>
      <c r="H992" s="4">
        <f>45.5919 * CHOOSE(CONTROL!$C$15, $D$11, 100%, $F$11)</f>
        <v>45.591900000000003</v>
      </c>
      <c r="I992" s="8">
        <f>43.9921 * CHOOSE(CONTROL!$C$15, $D$11, 100%, $F$11)</f>
        <v>43.992100000000001</v>
      </c>
      <c r="J992" s="4">
        <f>43.9219 * CHOOSE(CONTROL!$C$15, $D$11, 100%, $F$11)</f>
        <v>43.921900000000001</v>
      </c>
      <c r="K992" s="4"/>
      <c r="L992" s="9">
        <v>27.988800000000001</v>
      </c>
      <c r="M992" s="9">
        <v>11.6745</v>
      </c>
      <c r="N992" s="9">
        <v>4.7850000000000001</v>
      </c>
      <c r="O992" s="9">
        <v>0.36249999999999999</v>
      </c>
      <c r="P992" s="9">
        <v>1.1798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CONTROL!$C$32, 47.0695, 47.0642) * CHOOSE(CONTROL!$C$15, $D$11, 100%, $F$11)</f>
        <v>47.069499999999998</v>
      </c>
      <c r="C993" s="8">
        <f>CHOOSE( CONTROL!$C$32, 47.0799, 47.0747) * CHOOSE(CONTROL!$C$15, $D$11, 100%, $F$11)</f>
        <v>47.079900000000002</v>
      </c>
      <c r="D993" s="8">
        <f>CHOOSE( CONTROL!$C$32, 47.0928, 47.0875) * CHOOSE( CONTROL!$C$15, $D$11, 100%, $F$11)</f>
        <v>47.092799999999997</v>
      </c>
      <c r="E993" s="12">
        <f>CHOOSE( CONTROL!$C$32, 47.0865, 47.0813) * CHOOSE( CONTROL!$C$15, $D$11, 100%, $F$11)</f>
        <v>47.086500000000001</v>
      </c>
      <c r="F993" s="4">
        <f>CHOOSE( CONTROL!$C$32, 48.0924, 48.0871) * CHOOSE(CONTROL!$C$15, $D$11, 100%, $F$11)</f>
        <v>48.092399999999998</v>
      </c>
      <c r="G993" s="8">
        <f>CHOOSE( CONTROL!$C$32, 45.8836, 45.8785) * CHOOSE( CONTROL!$C$15, $D$11, 100%, $F$11)</f>
        <v>45.883600000000001</v>
      </c>
      <c r="H993" s="4">
        <f>CHOOSE( CONTROL!$C$32, 46.8028, 46.7977) * CHOOSE(CONTROL!$C$15, $D$11, 100%, $F$11)</f>
        <v>46.802799999999998</v>
      </c>
      <c r="I993" s="8">
        <f>CHOOSE( CONTROL!$C$32, 45.1733, 45.1683) * CHOOSE(CONTROL!$C$15, $D$11, 100%, $F$11)</f>
        <v>45.173299999999998</v>
      </c>
      <c r="J993" s="4">
        <f>CHOOSE( CONTROL!$C$32, 45.0972, 45.0922) * CHOOSE(CONTROL!$C$15, $D$11, 100%, $F$11)</f>
        <v>45.097200000000001</v>
      </c>
      <c r="K993" s="4"/>
      <c r="L993" s="9">
        <v>29.520499999999998</v>
      </c>
      <c r="M993" s="9">
        <v>12.063700000000001</v>
      </c>
      <c r="N993" s="9">
        <v>4.9444999999999997</v>
      </c>
      <c r="O993" s="9">
        <v>0.37459999999999999</v>
      </c>
      <c r="P993" s="9">
        <v>1.2192000000000001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CONTROL!$C$32, 46.3129, 46.3076) * CHOOSE(CONTROL!$C$15, $D$11, 100%, $F$11)</f>
        <v>46.312899999999999</v>
      </c>
      <c r="C994" s="8">
        <f>CHOOSE( CONTROL!$C$32, 46.3233, 46.3181) * CHOOSE(CONTROL!$C$15, $D$11, 100%, $F$11)</f>
        <v>46.323300000000003</v>
      </c>
      <c r="D994" s="8">
        <f>CHOOSE( CONTROL!$C$32, 46.3438, 46.3385) * CHOOSE( CONTROL!$C$15, $D$11, 100%, $F$11)</f>
        <v>46.343800000000002</v>
      </c>
      <c r="E994" s="12">
        <f>CHOOSE( CONTROL!$C$32, 46.3348, 46.3295) * CHOOSE( CONTROL!$C$15, $D$11, 100%, $F$11)</f>
        <v>46.334800000000001</v>
      </c>
      <c r="F994" s="4">
        <f>CHOOSE( CONTROL!$C$32, 47.3483, 47.3431) * CHOOSE(CONTROL!$C$15, $D$11, 100%, $F$11)</f>
        <v>47.348300000000002</v>
      </c>
      <c r="G994" s="8">
        <f>CHOOSE( CONTROL!$C$32, 45.1499, 45.1448) * CHOOSE( CONTROL!$C$15, $D$11, 100%, $F$11)</f>
        <v>45.149900000000002</v>
      </c>
      <c r="H994" s="4">
        <f>CHOOSE( CONTROL!$C$32, 46.0775, 46.0724) * CHOOSE(CONTROL!$C$15, $D$11, 100%, $F$11)</f>
        <v>46.077500000000001</v>
      </c>
      <c r="I994" s="8">
        <f>CHOOSE( CONTROL!$C$32, 44.4532, 44.4482) * CHOOSE(CONTROL!$C$15, $D$11, 100%, $F$11)</f>
        <v>44.453200000000002</v>
      </c>
      <c r="J994" s="4">
        <f>CHOOSE( CONTROL!$C$32, 44.3723, 44.3672) * CHOOSE(CONTROL!$C$15, $D$11, 100%, $F$11)</f>
        <v>44.372300000000003</v>
      </c>
      <c r="K994" s="4"/>
      <c r="L994" s="9">
        <v>28.568200000000001</v>
      </c>
      <c r="M994" s="9">
        <v>11.6745</v>
      </c>
      <c r="N994" s="9">
        <v>4.7850000000000001</v>
      </c>
      <c r="O994" s="9">
        <v>0.36249999999999999</v>
      </c>
      <c r="P994" s="9">
        <v>1.1798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CONTROL!$C$32, 48.3053, 48.3001) * CHOOSE(CONTROL!$C$15, $D$11, 100%, $F$11)</f>
        <v>48.305300000000003</v>
      </c>
      <c r="C995" s="8">
        <f>CHOOSE( CONTROL!$C$32, 48.3157, 48.3105) * CHOOSE(CONTROL!$C$15, $D$11, 100%, $F$11)</f>
        <v>48.3157</v>
      </c>
      <c r="D995" s="8">
        <f>CHOOSE( CONTROL!$C$32, 48.3263, 48.3211) * CHOOSE( CONTROL!$C$15, $D$11, 100%, $F$11)</f>
        <v>48.326300000000003</v>
      </c>
      <c r="E995" s="12">
        <f>CHOOSE( CONTROL!$C$32, 48.3209, 48.3157) * CHOOSE( CONTROL!$C$15, $D$11, 100%, $F$11)</f>
        <v>48.320900000000002</v>
      </c>
      <c r="F995" s="4">
        <f>CHOOSE( CONTROL!$C$32, 49.3407, 49.3355) * CHOOSE(CONTROL!$C$15, $D$11, 100%, $F$11)</f>
        <v>49.340699999999998</v>
      </c>
      <c r="G995" s="8">
        <f>CHOOSE( CONTROL!$C$32, 47.0788, 47.0737) * CHOOSE( CONTROL!$C$15, $D$11, 100%, $F$11)</f>
        <v>47.078800000000001</v>
      </c>
      <c r="H995" s="4">
        <f>CHOOSE( CONTROL!$C$32, 48.0197, 48.0146) * CHOOSE(CONTROL!$C$15, $D$11, 100%, $F$11)</f>
        <v>48.0197</v>
      </c>
      <c r="I995" s="8">
        <f>CHOOSE( CONTROL!$C$32, 46.3667, 46.3617) * CHOOSE(CONTROL!$C$15, $D$11, 100%, $F$11)</f>
        <v>46.366700000000002</v>
      </c>
      <c r="J995" s="4">
        <f>CHOOSE( CONTROL!$C$32, 46.2814, 46.2764) * CHOOSE(CONTROL!$C$15, $D$11, 100%, $F$11)</f>
        <v>46.281399999999998</v>
      </c>
      <c r="K995" s="4"/>
      <c r="L995" s="9">
        <v>29.520499999999998</v>
      </c>
      <c r="M995" s="9">
        <v>12.063700000000001</v>
      </c>
      <c r="N995" s="9">
        <v>4.9444999999999997</v>
      </c>
      <c r="O995" s="9">
        <v>0.37459999999999999</v>
      </c>
      <c r="P995" s="9">
        <v>1.2192000000000001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CONTROL!$C$32, 44.5773, 44.572) * CHOOSE(CONTROL!$C$15, $D$11, 100%, $F$11)</f>
        <v>44.577300000000001</v>
      </c>
      <c r="C996" s="8">
        <f>CHOOSE( CONTROL!$C$32, 44.5877, 44.5825) * CHOOSE(CONTROL!$C$15, $D$11, 100%, $F$11)</f>
        <v>44.587699999999998</v>
      </c>
      <c r="D996" s="8">
        <f>CHOOSE( CONTROL!$C$32, 44.5987, 44.5934) * CHOOSE( CONTROL!$C$15, $D$11, 100%, $F$11)</f>
        <v>44.598700000000001</v>
      </c>
      <c r="E996" s="12">
        <f>CHOOSE( CONTROL!$C$32, 44.5931, 44.5878) * CHOOSE( CONTROL!$C$15, $D$11, 100%, $F$11)</f>
        <v>44.5931</v>
      </c>
      <c r="F996" s="4">
        <f>CHOOSE( CONTROL!$C$32, 45.6127, 45.6075) * CHOOSE(CONTROL!$C$15, $D$11, 100%, $F$11)</f>
        <v>45.612699999999997</v>
      </c>
      <c r="G996" s="8">
        <f>CHOOSE( CONTROL!$C$32, 43.4453, 43.4402) * CHOOSE( CONTROL!$C$15, $D$11, 100%, $F$11)</f>
        <v>43.445300000000003</v>
      </c>
      <c r="H996" s="4">
        <f>CHOOSE( CONTROL!$C$32, 44.3857, 44.3806) * CHOOSE(CONTROL!$C$15, $D$11, 100%, $F$11)</f>
        <v>44.3857</v>
      </c>
      <c r="I996" s="8">
        <f>CHOOSE( CONTROL!$C$32, 42.7943, 42.7893) * CHOOSE(CONTROL!$C$15, $D$11, 100%, $F$11)</f>
        <v>42.7943</v>
      </c>
      <c r="J996" s="4">
        <f>CHOOSE( CONTROL!$C$32, 42.7092, 42.7042) * CHOOSE(CONTROL!$C$15, $D$11, 100%, $F$11)</f>
        <v>42.709200000000003</v>
      </c>
      <c r="K996" s="4"/>
      <c r="L996" s="9">
        <v>29.520499999999998</v>
      </c>
      <c r="M996" s="9">
        <v>12.063700000000001</v>
      </c>
      <c r="N996" s="9">
        <v>4.9444999999999997</v>
      </c>
      <c r="O996" s="9">
        <v>0.37459999999999999</v>
      </c>
      <c r="P996" s="9">
        <v>1.2192000000000001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CONTROL!$C$32, 43.6437, 43.6385) * CHOOSE(CONTROL!$C$15, $D$11, 100%, $F$11)</f>
        <v>43.643700000000003</v>
      </c>
      <c r="C997" s="8">
        <f>CHOOSE( CONTROL!$C$32, 43.6542, 43.6489) * CHOOSE(CONTROL!$C$15, $D$11, 100%, $F$11)</f>
        <v>43.654200000000003</v>
      </c>
      <c r="D997" s="8">
        <f>CHOOSE( CONTROL!$C$32, 43.6653, 43.66) * CHOOSE( CONTROL!$C$15, $D$11, 100%, $F$11)</f>
        <v>43.665300000000002</v>
      </c>
      <c r="E997" s="12">
        <f>CHOOSE( CONTROL!$C$32, 43.6597, 43.6544) * CHOOSE( CONTROL!$C$15, $D$11, 100%, $F$11)</f>
        <v>43.659700000000001</v>
      </c>
      <c r="F997" s="4">
        <f>CHOOSE( CONTROL!$C$32, 44.6792, 44.6739) * CHOOSE(CONTROL!$C$15, $D$11, 100%, $F$11)</f>
        <v>44.679200000000002</v>
      </c>
      <c r="G997" s="8">
        <f>CHOOSE( CONTROL!$C$32, 42.5356, 42.5304) * CHOOSE( CONTROL!$C$15, $D$11, 100%, $F$11)</f>
        <v>42.535600000000002</v>
      </c>
      <c r="H997" s="4">
        <f>CHOOSE( CONTROL!$C$32, 43.4757, 43.4706) * CHOOSE(CONTROL!$C$15, $D$11, 100%, $F$11)</f>
        <v>43.475700000000003</v>
      </c>
      <c r="I997" s="8">
        <f>CHOOSE( CONTROL!$C$32, 41.9001, 41.895) * CHOOSE(CONTROL!$C$15, $D$11, 100%, $F$11)</f>
        <v>41.900100000000002</v>
      </c>
      <c r="J997" s="4">
        <f>CHOOSE( CONTROL!$C$32, 41.8147, 41.8096) * CHOOSE(CONTROL!$C$15, $D$11, 100%, $F$11)</f>
        <v>41.814700000000002</v>
      </c>
      <c r="K997" s="4"/>
      <c r="L997" s="9">
        <v>28.568200000000001</v>
      </c>
      <c r="M997" s="9">
        <v>11.6745</v>
      </c>
      <c r="N997" s="9">
        <v>4.7850000000000001</v>
      </c>
      <c r="O997" s="9">
        <v>0.36249999999999999</v>
      </c>
      <c r="P997" s="9">
        <v>1.1798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45.5768 * CHOOSE(CONTROL!$C$15, $D$11, 100%, $F$11)</f>
        <v>45.576799999999999</v>
      </c>
      <c r="C998" s="8">
        <f>45.5873 * CHOOSE(CONTROL!$C$15, $D$11, 100%, $F$11)</f>
        <v>45.587299999999999</v>
      </c>
      <c r="D998" s="8">
        <f>45.5996 * CHOOSE( CONTROL!$C$15, $D$11, 100%, $F$11)</f>
        <v>45.599600000000002</v>
      </c>
      <c r="E998" s="12">
        <f>45.5944 * CHOOSE( CONTROL!$C$15, $D$11, 100%, $F$11)</f>
        <v>45.5944</v>
      </c>
      <c r="F998" s="4">
        <f>46.6123 * CHOOSE(CONTROL!$C$15, $D$11, 100%, $F$11)</f>
        <v>46.612299999999998</v>
      </c>
      <c r="G998" s="8">
        <f>44.4193 * CHOOSE( CONTROL!$C$15, $D$11, 100%, $F$11)</f>
        <v>44.4193</v>
      </c>
      <c r="H998" s="4">
        <f>45.3601 * CHOOSE(CONTROL!$C$15, $D$11, 100%, $F$11)</f>
        <v>45.360100000000003</v>
      </c>
      <c r="I998" s="8">
        <f>43.7547 * CHOOSE(CONTROL!$C$15, $D$11, 100%, $F$11)</f>
        <v>43.7547</v>
      </c>
      <c r="J998" s="4">
        <f>43.667 * CHOOSE(CONTROL!$C$15, $D$11, 100%, $F$11)</f>
        <v>43.667000000000002</v>
      </c>
      <c r="K998" s="4"/>
      <c r="L998" s="9">
        <v>28.921800000000001</v>
      </c>
      <c r="M998" s="9">
        <v>12.063700000000001</v>
      </c>
      <c r="N998" s="9">
        <v>4.9444999999999997</v>
      </c>
      <c r="O998" s="9">
        <v>0.37459999999999999</v>
      </c>
      <c r="P998" s="9">
        <v>1.2192000000000001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49.1546 * CHOOSE(CONTROL!$C$15, $D$11, 100%, $F$11)</f>
        <v>49.154600000000002</v>
      </c>
      <c r="C999" s="8">
        <f>49.1651 * CHOOSE(CONTROL!$C$15, $D$11, 100%, $F$11)</f>
        <v>49.165100000000002</v>
      </c>
      <c r="D999" s="8">
        <f>49.1488 * CHOOSE( CONTROL!$C$15, $D$11, 100%, $F$11)</f>
        <v>49.148800000000001</v>
      </c>
      <c r="E999" s="12">
        <f>49.1536 * CHOOSE( CONTROL!$C$15, $D$11, 100%, $F$11)</f>
        <v>49.153599999999997</v>
      </c>
      <c r="F999" s="4">
        <f>50.1489 * CHOOSE(CONTROL!$C$15, $D$11, 100%, $F$11)</f>
        <v>50.148899999999998</v>
      </c>
      <c r="G999" s="8">
        <f>47.9278 * CHOOSE( CONTROL!$C$15, $D$11, 100%, $F$11)</f>
        <v>47.927799999999998</v>
      </c>
      <c r="H999" s="4">
        <f>48.8074 * CHOOSE(CONTROL!$C$15, $D$11, 100%, $F$11)</f>
        <v>48.807400000000001</v>
      </c>
      <c r="I999" s="8">
        <f>47.2215 * CHOOSE(CONTROL!$C$15, $D$11, 100%, $F$11)</f>
        <v>47.221499999999999</v>
      </c>
      <c r="J999" s="4">
        <f>47.0952 * CHOOSE(CONTROL!$C$15, $D$11, 100%, $F$11)</f>
        <v>47.095199999999998</v>
      </c>
      <c r="K999" s="4"/>
      <c r="L999" s="9">
        <v>26.515499999999999</v>
      </c>
      <c r="M999" s="9">
        <v>11.6745</v>
      </c>
      <c r="N999" s="9">
        <v>4.7850000000000001</v>
      </c>
      <c r="O999" s="9">
        <v>0.36249999999999999</v>
      </c>
      <c r="P999" s="9">
        <v>1.2522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49.0653 * CHOOSE(CONTROL!$C$15, $D$11, 100%, $F$11)</f>
        <v>49.065300000000001</v>
      </c>
      <c r="C1000" s="8">
        <f>49.0757 * CHOOSE(CONTROL!$C$15, $D$11, 100%, $F$11)</f>
        <v>49.075699999999998</v>
      </c>
      <c r="D1000" s="8">
        <f>49.0617 * CHOOSE( CONTROL!$C$15, $D$11, 100%, $F$11)</f>
        <v>49.061700000000002</v>
      </c>
      <c r="E1000" s="12">
        <f>49.0657 * CHOOSE( CONTROL!$C$15, $D$11, 100%, $F$11)</f>
        <v>49.0657</v>
      </c>
      <c r="F1000" s="4">
        <f>50.0595 * CHOOSE(CONTROL!$C$15, $D$11, 100%, $F$11)</f>
        <v>50.0595</v>
      </c>
      <c r="G1000" s="8">
        <f>47.8424 * CHOOSE( CONTROL!$C$15, $D$11, 100%, $F$11)</f>
        <v>47.842399999999998</v>
      </c>
      <c r="H1000" s="4">
        <f>48.7203 * CHOOSE(CONTROL!$C$15, $D$11, 100%, $F$11)</f>
        <v>48.720300000000002</v>
      </c>
      <c r="I1000" s="8">
        <f>47.1434 * CHOOSE(CONTROL!$C$15, $D$11, 100%, $F$11)</f>
        <v>47.1434</v>
      </c>
      <c r="J1000" s="4">
        <f>47.0096 * CHOOSE(CONTROL!$C$15, $D$11, 100%, $F$11)</f>
        <v>47.009599999999999</v>
      </c>
      <c r="K1000" s="4"/>
      <c r="L1000" s="9">
        <v>27.3993</v>
      </c>
      <c r="M1000" s="9">
        <v>12.063700000000001</v>
      </c>
      <c r="N1000" s="9">
        <v>4.9444999999999997</v>
      </c>
      <c r="O1000" s="9">
        <v>0.37459999999999999</v>
      </c>
      <c r="P1000" s="9">
        <v>1.2939000000000001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50.9403 * CHOOSE(CONTROL!$C$15, $D$11, 100%, $F$11)</f>
        <v>50.940300000000001</v>
      </c>
      <c r="C1001" s="8">
        <f>50.9507 * CHOOSE(CONTROL!$C$15, $D$11, 100%, $F$11)</f>
        <v>50.950699999999998</v>
      </c>
      <c r="D1001" s="8">
        <f>50.9501 * CHOOSE( CONTROL!$C$15, $D$11, 100%, $F$11)</f>
        <v>50.950099999999999</v>
      </c>
      <c r="E1001" s="12">
        <f>50.9492 * CHOOSE( CONTROL!$C$15, $D$11, 100%, $F$11)</f>
        <v>50.949199999999998</v>
      </c>
      <c r="F1001" s="4">
        <f>51.9632 * CHOOSE(CONTROL!$C$15, $D$11, 100%, $F$11)</f>
        <v>51.963200000000001</v>
      </c>
      <c r="G1001" s="8">
        <f>49.6837 * CHOOSE( CONTROL!$C$15, $D$11, 100%, $F$11)</f>
        <v>49.683700000000002</v>
      </c>
      <c r="H1001" s="4">
        <f>50.576 * CHOOSE(CONTROL!$C$15, $D$11, 100%, $F$11)</f>
        <v>50.576000000000001</v>
      </c>
      <c r="I1001" s="8">
        <f>48.9393 * CHOOSE(CONTROL!$C$15, $D$11, 100%, $F$11)</f>
        <v>48.939300000000003</v>
      </c>
      <c r="J1001" s="4">
        <f>48.8063 * CHOOSE(CONTROL!$C$15, $D$11, 100%, $F$11)</f>
        <v>48.8063</v>
      </c>
      <c r="K1001" s="4"/>
      <c r="L1001" s="9">
        <v>27.3993</v>
      </c>
      <c r="M1001" s="9">
        <v>12.063700000000001</v>
      </c>
      <c r="N1001" s="9">
        <v>4.9444999999999997</v>
      </c>
      <c r="O1001" s="9">
        <v>0.37459999999999999</v>
      </c>
      <c r="P1001" s="9">
        <v>1.2939000000000001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47.6474 * CHOOSE(CONTROL!$C$15, $D$11, 100%, $F$11)</f>
        <v>47.647399999999998</v>
      </c>
      <c r="C1002" s="8">
        <f>47.6579 * CHOOSE(CONTROL!$C$15, $D$11, 100%, $F$11)</f>
        <v>47.657899999999998</v>
      </c>
      <c r="D1002" s="8">
        <f>47.6594 * CHOOSE( CONTROL!$C$15, $D$11, 100%, $F$11)</f>
        <v>47.659399999999998</v>
      </c>
      <c r="E1002" s="12">
        <f>47.6577 * CHOOSE( CONTROL!$C$15, $D$11, 100%, $F$11)</f>
        <v>47.657699999999998</v>
      </c>
      <c r="F1002" s="4">
        <f>48.6625 * CHOOSE(CONTROL!$C$15, $D$11, 100%, $F$11)</f>
        <v>48.662500000000001</v>
      </c>
      <c r="G1002" s="8">
        <f>46.4737 * CHOOSE( CONTROL!$C$15, $D$11, 100%, $F$11)</f>
        <v>46.473700000000001</v>
      </c>
      <c r="H1002" s="4">
        <f>47.3586 * CHOOSE(CONTROL!$C$15, $D$11, 100%, $F$11)</f>
        <v>47.358600000000003</v>
      </c>
      <c r="I1002" s="8">
        <f>45.7715 * CHOOSE(CONTROL!$C$15, $D$11, 100%, $F$11)</f>
        <v>45.771500000000003</v>
      </c>
      <c r="J1002" s="4">
        <f>45.651 * CHOOSE(CONTROL!$C$15, $D$11, 100%, $F$11)</f>
        <v>45.651000000000003</v>
      </c>
      <c r="K1002" s="4"/>
      <c r="L1002" s="9">
        <v>24.747800000000002</v>
      </c>
      <c r="M1002" s="9">
        <v>10.8962</v>
      </c>
      <c r="N1002" s="9">
        <v>4.4660000000000002</v>
      </c>
      <c r="O1002" s="9">
        <v>0.33829999999999999</v>
      </c>
      <c r="P1002" s="9">
        <v>1.1687000000000001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46.6332 * CHOOSE(CONTROL!$C$15, $D$11, 100%, $F$11)</f>
        <v>46.633200000000002</v>
      </c>
      <c r="C1003" s="8">
        <f>46.6437 * CHOOSE(CONTROL!$C$15, $D$11, 100%, $F$11)</f>
        <v>46.643700000000003</v>
      </c>
      <c r="D1003" s="8">
        <f>46.6247 * CHOOSE( CONTROL!$C$15, $D$11, 100%, $F$11)</f>
        <v>46.624699999999997</v>
      </c>
      <c r="E1003" s="12">
        <f>46.6305 * CHOOSE( CONTROL!$C$15, $D$11, 100%, $F$11)</f>
        <v>46.630499999999998</v>
      </c>
      <c r="F1003" s="4">
        <f>47.6321 * CHOOSE(CONTROL!$C$15, $D$11, 100%, $F$11)</f>
        <v>47.632100000000001</v>
      </c>
      <c r="G1003" s="8">
        <f>45.4643 * CHOOSE( CONTROL!$C$15, $D$11, 100%, $F$11)</f>
        <v>45.464300000000001</v>
      </c>
      <c r="H1003" s="4">
        <f>46.3542 * CHOOSE(CONTROL!$C$15, $D$11, 100%, $F$11)</f>
        <v>46.354199999999999</v>
      </c>
      <c r="I1003" s="8">
        <f>44.7597 * CHOOSE(CONTROL!$C$15, $D$11, 100%, $F$11)</f>
        <v>44.759700000000002</v>
      </c>
      <c r="J1003" s="4">
        <f>44.6792 * CHOOSE(CONTROL!$C$15, $D$11, 100%, $F$11)</f>
        <v>44.679200000000002</v>
      </c>
      <c r="K1003" s="4"/>
      <c r="L1003" s="9">
        <v>27.3993</v>
      </c>
      <c r="M1003" s="9">
        <v>12.063700000000001</v>
      </c>
      <c r="N1003" s="9">
        <v>4.9444999999999997</v>
      </c>
      <c r="O1003" s="9">
        <v>0.37459999999999999</v>
      </c>
      <c r="P1003" s="9">
        <v>1.2939000000000001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47.3419 * CHOOSE(CONTROL!$C$15, $D$11, 100%, $F$11)</f>
        <v>47.341900000000003</v>
      </c>
      <c r="C1004" s="8">
        <f>47.3524 * CHOOSE(CONTROL!$C$15, $D$11, 100%, $F$11)</f>
        <v>47.352400000000003</v>
      </c>
      <c r="D1004" s="8">
        <f>47.3564 * CHOOSE( CONTROL!$C$15, $D$11, 100%, $F$11)</f>
        <v>47.356400000000001</v>
      </c>
      <c r="E1004" s="12">
        <f>47.3539 * CHOOSE( CONTROL!$C$15, $D$11, 100%, $F$11)</f>
        <v>47.353900000000003</v>
      </c>
      <c r="F1004" s="4">
        <f>48.3492 * CHOOSE(CONTROL!$C$15, $D$11, 100%, $F$11)</f>
        <v>48.349200000000003</v>
      </c>
      <c r="G1004" s="8">
        <f>46.1435 * CHOOSE( CONTROL!$C$15, $D$11, 100%, $F$11)</f>
        <v>46.143500000000003</v>
      </c>
      <c r="H1004" s="4">
        <f>47.0531 * CHOOSE(CONTROL!$C$15, $D$11, 100%, $F$11)</f>
        <v>47.053100000000001</v>
      </c>
      <c r="I1004" s="8">
        <f>45.4292 * CHOOSE(CONTROL!$C$15, $D$11, 100%, $F$11)</f>
        <v>45.429200000000002</v>
      </c>
      <c r="J1004" s="4">
        <f>45.3583 * CHOOSE(CONTROL!$C$15, $D$11, 100%, $F$11)</f>
        <v>45.3583</v>
      </c>
      <c r="K1004" s="4"/>
      <c r="L1004" s="9">
        <v>27.988800000000001</v>
      </c>
      <c r="M1004" s="9">
        <v>11.6745</v>
      </c>
      <c r="N1004" s="9">
        <v>4.7850000000000001</v>
      </c>
      <c r="O1004" s="9">
        <v>0.36249999999999999</v>
      </c>
      <c r="P1004" s="9">
        <v>1.1798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CONTROL!$C$32, 48.6085, 48.6033) * CHOOSE(CONTROL!$C$15, $D$11, 100%, $F$11)</f>
        <v>48.608499999999999</v>
      </c>
      <c r="C1005" s="8">
        <f>CHOOSE( CONTROL!$C$32, 48.6189, 48.6137) * CHOOSE(CONTROL!$C$15, $D$11, 100%, $F$11)</f>
        <v>48.618899999999996</v>
      </c>
      <c r="D1005" s="8">
        <f>CHOOSE( CONTROL!$C$32, 48.6318, 48.6265) * CHOOSE( CONTROL!$C$15, $D$11, 100%, $F$11)</f>
        <v>48.631799999999998</v>
      </c>
      <c r="E1005" s="12">
        <f>CHOOSE( CONTROL!$C$32, 48.6255, 48.6203) * CHOOSE( CONTROL!$C$15, $D$11, 100%, $F$11)</f>
        <v>48.625500000000002</v>
      </c>
      <c r="F1005" s="4">
        <f>CHOOSE( CONTROL!$C$32, 49.6314, 49.6262) * CHOOSE(CONTROL!$C$15, $D$11, 100%, $F$11)</f>
        <v>49.631399999999999</v>
      </c>
      <c r="G1005" s="8">
        <f>CHOOSE( CONTROL!$C$32, 47.3838, 47.3786) * CHOOSE( CONTROL!$C$15, $D$11, 100%, $F$11)</f>
        <v>47.383800000000001</v>
      </c>
      <c r="H1005" s="4">
        <f>CHOOSE( CONTROL!$C$32, 48.303, 48.2979) * CHOOSE(CONTROL!$C$15, $D$11, 100%, $F$11)</f>
        <v>48.302999999999997</v>
      </c>
      <c r="I1005" s="8">
        <f>CHOOSE( CONTROL!$C$32, 46.6488, 46.6437) * CHOOSE(CONTROL!$C$15, $D$11, 100%, $F$11)</f>
        <v>46.648800000000001</v>
      </c>
      <c r="J1005" s="4">
        <f>CHOOSE( CONTROL!$C$32, 46.5719, 46.5669) * CHOOSE(CONTROL!$C$15, $D$11, 100%, $F$11)</f>
        <v>46.571899999999999</v>
      </c>
      <c r="K1005" s="4"/>
      <c r="L1005" s="9">
        <v>29.520499999999998</v>
      </c>
      <c r="M1005" s="9">
        <v>12.063700000000001</v>
      </c>
      <c r="N1005" s="9">
        <v>4.9444999999999997</v>
      </c>
      <c r="O1005" s="9">
        <v>0.37459999999999999</v>
      </c>
      <c r="P1005" s="9">
        <v>1.2192000000000001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CONTROL!$C$32, 47.8272, 47.8219) * CHOOSE(CONTROL!$C$15, $D$11, 100%, $F$11)</f>
        <v>47.827199999999998</v>
      </c>
      <c r="C1006" s="8">
        <f>CHOOSE( CONTROL!$C$32, 47.8376, 47.8323) * CHOOSE(CONTROL!$C$15, $D$11, 100%, $F$11)</f>
        <v>47.837600000000002</v>
      </c>
      <c r="D1006" s="8">
        <f>CHOOSE( CONTROL!$C$32, 47.858, 47.8528) * CHOOSE( CONTROL!$C$15, $D$11, 100%, $F$11)</f>
        <v>47.857999999999997</v>
      </c>
      <c r="E1006" s="12">
        <f>CHOOSE( CONTROL!$C$32, 47.849, 47.8438) * CHOOSE( CONTROL!$C$15, $D$11, 100%, $F$11)</f>
        <v>47.848999999999997</v>
      </c>
      <c r="F1006" s="4">
        <f>CHOOSE( CONTROL!$C$32, 48.8626, 48.8573) * CHOOSE(CONTROL!$C$15, $D$11, 100%, $F$11)</f>
        <v>48.8626</v>
      </c>
      <c r="G1006" s="8">
        <f>CHOOSE( CONTROL!$C$32, 46.626, 46.6209) * CHOOSE( CONTROL!$C$15, $D$11, 100%, $F$11)</f>
        <v>46.625999999999998</v>
      </c>
      <c r="H1006" s="4">
        <f>CHOOSE( CONTROL!$C$32, 47.5536, 47.5485) * CHOOSE(CONTROL!$C$15, $D$11, 100%, $F$11)</f>
        <v>47.553600000000003</v>
      </c>
      <c r="I1006" s="8">
        <f>CHOOSE( CONTROL!$C$32, 45.9049, 45.8999) * CHOOSE(CONTROL!$C$15, $D$11, 100%, $F$11)</f>
        <v>45.904899999999998</v>
      </c>
      <c r="J1006" s="4">
        <f>CHOOSE( CONTROL!$C$32, 45.8232, 45.8182) * CHOOSE(CONTROL!$C$15, $D$11, 100%, $F$11)</f>
        <v>45.8232</v>
      </c>
      <c r="K1006" s="4"/>
      <c r="L1006" s="9">
        <v>28.568200000000001</v>
      </c>
      <c r="M1006" s="9">
        <v>11.6745</v>
      </c>
      <c r="N1006" s="9">
        <v>4.7850000000000001</v>
      </c>
      <c r="O1006" s="9">
        <v>0.36249999999999999</v>
      </c>
      <c r="P1006" s="9">
        <v>1.1798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CONTROL!$C$32, 49.8847, 49.8795) * CHOOSE(CONTROL!$C$15, $D$11, 100%, $F$11)</f>
        <v>49.884700000000002</v>
      </c>
      <c r="C1007" s="8">
        <f>CHOOSE( CONTROL!$C$32, 49.8952, 49.8899) * CHOOSE(CONTROL!$C$15, $D$11, 100%, $F$11)</f>
        <v>49.895200000000003</v>
      </c>
      <c r="D1007" s="8">
        <f>CHOOSE( CONTROL!$C$32, 49.9058, 49.9005) * CHOOSE( CONTROL!$C$15, $D$11, 100%, $F$11)</f>
        <v>49.905799999999999</v>
      </c>
      <c r="E1007" s="12">
        <f>CHOOSE( CONTROL!$C$32, 49.9004, 49.8951) * CHOOSE( CONTROL!$C$15, $D$11, 100%, $F$11)</f>
        <v>49.900399999999998</v>
      </c>
      <c r="F1007" s="4">
        <f>CHOOSE( CONTROL!$C$32, 50.9202, 50.9149) * CHOOSE(CONTROL!$C$15, $D$11, 100%, $F$11)</f>
        <v>50.920200000000001</v>
      </c>
      <c r="G1007" s="8">
        <f>CHOOSE( CONTROL!$C$32, 48.6184, 48.6133) * CHOOSE( CONTROL!$C$15, $D$11, 100%, $F$11)</f>
        <v>48.618400000000001</v>
      </c>
      <c r="H1007" s="4">
        <f>CHOOSE( CONTROL!$C$32, 49.5593, 49.5541) * CHOOSE(CONTROL!$C$15, $D$11, 100%, $F$11)</f>
        <v>49.5593</v>
      </c>
      <c r="I1007" s="8">
        <f>CHOOSE( CONTROL!$C$32, 47.8809, 47.8758) * CHOOSE(CONTROL!$C$15, $D$11, 100%, $F$11)</f>
        <v>47.880899999999997</v>
      </c>
      <c r="J1007" s="4">
        <f>CHOOSE( CONTROL!$C$32, 47.7948, 47.7898) * CHOOSE(CONTROL!$C$15, $D$11, 100%, $F$11)</f>
        <v>47.794800000000002</v>
      </c>
      <c r="K1007" s="4"/>
      <c r="L1007" s="9">
        <v>29.520499999999998</v>
      </c>
      <c r="M1007" s="9">
        <v>12.063700000000001</v>
      </c>
      <c r="N1007" s="9">
        <v>4.9444999999999997</v>
      </c>
      <c r="O1007" s="9">
        <v>0.37459999999999999</v>
      </c>
      <c r="P1007" s="9">
        <v>1.2192000000000001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CONTROL!$C$32, 46.0348, 46.0295) * CHOOSE(CONTROL!$C$15, $D$11, 100%, $F$11)</f>
        <v>46.034799999999997</v>
      </c>
      <c r="C1008" s="8">
        <f>CHOOSE( CONTROL!$C$32, 46.0452, 46.04) * CHOOSE(CONTROL!$C$15, $D$11, 100%, $F$11)</f>
        <v>46.045200000000001</v>
      </c>
      <c r="D1008" s="8">
        <f>CHOOSE( CONTROL!$C$32, 46.0562, 46.0509) * CHOOSE( CONTROL!$C$15, $D$11, 100%, $F$11)</f>
        <v>46.056199999999997</v>
      </c>
      <c r="E1008" s="12">
        <f>CHOOSE( CONTROL!$C$32, 46.0506, 46.0453) * CHOOSE( CONTROL!$C$15, $D$11, 100%, $F$11)</f>
        <v>46.050600000000003</v>
      </c>
      <c r="F1008" s="4">
        <f>CHOOSE( CONTROL!$C$32, 47.0702, 47.065) * CHOOSE(CONTROL!$C$15, $D$11, 100%, $F$11)</f>
        <v>47.0702</v>
      </c>
      <c r="G1008" s="8">
        <f>CHOOSE( CONTROL!$C$32, 44.8661, 44.861) * CHOOSE( CONTROL!$C$15, $D$11, 100%, $F$11)</f>
        <v>44.866100000000003</v>
      </c>
      <c r="H1008" s="4">
        <f>CHOOSE( CONTROL!$C$32, 45.8065, 45.8013) * CHOOSE(CONTROL!$C$15, $D$11, 100%, $F$11)</f>
        <v>45.8065</v>
      </c>
      <c r="I1008" s="8">
        <f>CHOOSE( CONTROL!$C$32, 44.1916, 44.1866) * CHOOSE(CONTROL!$C$15, $D$11, 100%, $F$11)</f>
        <v>44.191600000000001</v>
      </c>
      <c r="J1008" s="4">
        <f>CHOOSE( CONTROL!$C$32, 44.1058, 44.1007) * CHOOSE(CONTROL!$C$15, $D$11, 100%, $F$11)</f>
        <v>44.105800000000002</v>
      </c>
      <c r="K1008" s="4"/>
      <c r="L1008" s="9">
        <v>29.520499999999998</v>
      </c>
      <c r="M1008" s="9">
        <v>12.063700000000001</v>
      </c>
      <c r="N1008" s="9">
        <v>4.9444999999999997</v>
      </c>
      <c r="O1008" s="9">
        <v>0.37459999999999999</v>
      </c>
      <c r="P1008" s="9">
        <v>1.2192000000000001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CONTROL!$C$32, 45.0707, 45.0655) * CHOOSE(CONTROL!$C$15, $D$11, 100%, $F$11)</f>
        <v>45.070700000000002</v>
      </c>
      <c r="C1009" s="8">
        <f>CHOOSE( CONTROL!$C$32, 45.0812, 45.0759) * CHOOSE(CONTROL!$C$15, $D$11, 100%, $F$11)</f>
        <v>45.081200000000003</v>
      </c>
      <c r="D1009" s="8">
        <f>CHOOSE( CONTROL!$C$32, 45.0922, 45.087) * CHOOSE( CONTROL!$C$15, $D$11, 100%, $F$11)</f>
        <v>45.092199999999998</v>
      </c>
      <c r="E1009" s="12">
        <f>CHOOSE( CONTROL!$C$32, 45.0866, 45.0814) * CHOOSE( CONTROL!$C$15, $D$11, 100%, $F$11)</f>
        <v>45.086599999999997</v>
      </c>
      <c r="F1009" s="4">
        <f>CHOOSE( CONTROL!$C$32, 46.1062, 46.1009) * CHOOSE(CONTROL!$C$15, $D$11, 100%, $F$11)</f>
        <v>46.106200000000001</v>
      </c>
      <c r="G1009" s="8">
        <f>CHOOSE( CONTROL!$C$32, 43.9265, 43.9214) * CHOOSE( CONTROL!$C$15, $D$11, 100%, $F$11)</f>
        <v>43.926499999999997</v>
      </c>
      <c r="H1009" s="4">
        <f>CHOOSE( CONTROL!$C$32, 44.8667, 44.8616) * CHOOSE(CONTROL!$C$15, $D$11, 100%, $F$11)</f>
        <v>44.866700000000002</v>
      </c>
      <c r="I1009" s="8">
        <f>CHOOSE( CONTROL!$C$32, 43.2681, 43.263) * CHOOSE(CONTROL!$C$15, $D$11, 100%, $F$11)</f>
        <v>43.268099999999997</v>
      </c>
      <c r="J1009" s="4">
        <f>CHOOSE( CONTROL!$C$32, 43.182, 43.177) * CHOOSE(CONTROL!$C$15, $D$11, 100%, $F$11)</f>
        <v>43.182000000000002</v>
      </c>
      <c r="K1009" s="4"/>
      <c r="L1009" s="9">
        <v>28.568200000000001</v>
      </c>
      <c r="M1009" s="9">
        <v>11.6745</v>
      </c>
      <c r="N1009" s="9">
        <v>4.7850000000000001</v>
      </c>
      <c r="O1009" s="9">
        <v>0.36249999999999999</v>
      </c>
      <c r="P1009" s="9">
        <v>1.1798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47.0672 * CHOOSE(CONTROL!$C$15, $D$11, 100%, $F$11)</f>
        <v>47.0672</v>
      </c>
      <c r="C1010" s="8">
        <f>47.0776 * CHOOSE(CONTROL!$C$15, $D$11, 100%, $F$11)</f>
        <v>47.077599999999997</v>
      </c>
      <c r="D1010" s="8">
        <f>47.09 * CHOOSE( CONTROL!$C$15, $D$11, 100%, $F$11)</f>
        <v>47.09</v>
      </c>
      <c r="E1010" s="12">
        <f>47.0848 * CHOOSE( CONTROL!$C$15, $D$11, 100%, $F$11)</f>
        <v>47.084800000000001</v>
      </c>
      <c r="F1010" s="4">
        <f>48.1026 * CHOOSE(CONTROL!$C$15, $D$11, 100%, $F$11)</f>
        <v>48.102600000000002</v>
      </c>
      <c r="G1010" s="8">
        <f>45.872 * CHOOSE( CONTROL!$C$15, $D$11, 100%, $F$11)</f>
        <v>45.872</v>
      </c>
      <c r="H1010" s="4">
        <f>46.8128 * CHOOSE(CONTROL!$C$15, $D$11, 100%, $F$11)</f>
        <v>46.812800000000003</v>
      </c>
      <c r="I1010" s="8">
        <f>45.1835 * CHOOSE(CONTROL!$C$15, $D$11, 100%, $F$11)</f>
        <v>45.183500000000002</v>
      </c>
      <c r="J1010" s="4">
        <f>45.095 * CHOOSE(CONTROL!$C$15, $D$11, 100%, $F$11)</f>
        <v>45.094999999999999</v>
      </c>
      <c r="K1010" s="4"/>
      <c r="L1010" s="9">
        <v>28.921800000000001</v>
      </c>
      <c r="M1010" s="9">
        <v>12.063700000000001</v>
      </c>
      <c r="N1010" s="9">
        <v>4.9444999999999997</v>
      </c>
      <c r="O1010" s="9">
        <v>0.37459999999999999</v>
      </c>
      <c r="P1010" s="9">
        <v>1.2192000000000001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50.762 * CHOOSE(CONTROL!$C$15, $D$11, 100%, $F$11)</f>
        <v>50.762</v>
      </c>
      <c r="C1011" s="8">
        <f>50.7725 * CHOOSE(CONTROL!$C$15, $D$11, 100%, $F$11)</f>
        <v>50.772500000000001</v>
      </c>
      <c r="D1011" s="8">
        <f>50.7562 * CHOOSE( CONTROL!$C$15, $D$11, 100%, $F$11)</f>
        <v>50.7562</v>
      </c>
      <c r="E1011" s="12">
        <f>50.761 * CHOOSE( CONTROL!$C$15, $D$11, 100%, $F$11)</f>
        <v>50.761000000000003</v>
      </c>
      <c r="F1011" s="4">
        <f>51.7562 * CHOOSE(CONTROL!$C$15, $D$11, 100%, $F$11)</f>
        <v>51.7562</v>
      </c>
      <c r="G1011" s="8">
        <f>49.4946 * CHOOSE( CONTROL!$C$15, $D$11, 100%, $F$11)</f>
        <v>49.494599999999998</v>
      </c>
      <c r="H1011" s="4">
        <f>50.3742 * CHOOSE(CONTROL!$C$15, $D$11, 100%, $F$11)</f>
        <v>50.374200000000002</v>
      </c>
      <c r="I1011" s="8">
        <f>48.7625 * CHOOSE(CONTROL!$C$15, $D$11, 100%, $F$11)</f>
        <v>48.762500000000003</v>
      </c>
      <c r="J1011" s="4">
        <f>48.6354 * CHOOSE(CONTROL!$C$15, $D$11, 100%, $F$11)</f>
        <v>48.635399999999997</v>
      </c>
      <c r="K1011" s="4"/>
      <c r="L1011" s="9">
        <v>26.515499999999999</v>
      </c>
      <c r="M1011" s="9">
        <v>11.6745</v>
      </c>
      <c r="N1011" s="9">
        <v>4.7850000000000001</v>
      </c>
      <c r="O1011" s="9">
        <v>0.36249999999999999</v>
      </c>
      <c r="P1011" s="9">
        <v>1.2522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50.6697 * CHOOSE(CONTROL!$C$15, $D$11, 100%, $F$11)</f>
        <v>50.669699999999999</v>
      </c>
      <c r="C1012" s="8">
        <f>50.6801 * CHOOSE(CONTROL!$C$15, $D$11, 100%, $F$11)</f>
        <v>50.680100000000003</v>
      </c>
      <c r="D1012" s="8">
        <f>50.6662 * CHOOSE( CONTROL!$C$15, $D$11, 100%, $F$11)</f>
        <v>50.666200000000003</v>
      </c>
      <c r="E1012" s="12">
        <f>50.6702 * CHOOSE( CONTROL!$C$15, $D$11, 100%, $F$11)</f>
        <v>50.670200000000001</v>
      </c>
      <c r="F1012" s="4">
        <f>51.6639 * CHOOSE(CONTROL!$C$15, $D$11, 100%, $F$11)</f>
        <v>51.663899999999998</v>
      </c>
      <c r="G1012" s="8">
        <f>49.4064 * CHOOSE( CONTROL!$C$15, $D$11, 100%, $F$11)</f>
        <v>49.406399999999998</v>
      </c>
      <c r="H1012" s="4">
        <f>50.2843 * CHOOSE(CONTROL!$C$15, $D$11, 100%, $F$11)</f>
        <v>50.284300000000002</v>
      </c>
      <c r="I1012" s="8">
        <f>48.6815 * CHOOSE(CONTROL!$C$15, $D$11, 100%, $F$11)</f>
        <v>48.6815</v>
      </c>
      <c r="J1012" s="4">
        <f>48.547 * CHOOSE(CONTROL!$C$15, $D$11, 100%, $F$11)</f>
        <v>48.546999999999997</v>
      </c>
      <c r="K1012" s="4"/>
      <c r="L1012" s="9">
        <v>27.3993</v>
      </c>
      <c r="M1012" s="9">
        <v>12.063700000000001</v>
      </c>
      <c r="N1012" s="9">
        <v>4.9444999999999997</v>
      </c>
      <c r="O1012" s="9">
        <v>0.37459999999999999</v>
      </c>
      <c r="P1012" s="9">
        <v>1.2939000000000001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52.6061 * CHOOSE(CONTROL!$C$15, $D$11, 100%, $F$11)</f>
        <v>52.606099999999998</v>
      </c>
      <c r="C1013" s="8">
        <f>52.6165 * CHOOSE(CONTROL!$C$15, $D$11, 100%, $F$11)</f>
        <v>52.616500000000002</v>
      </c>
      <c r="D1013" s="8">
        <f>52.6159 * CHOOSE( CONTROL!$C$15, $D$11, 100%, $F$11)</f>
        <v>52.615900000000003</v>
      </c>
      <c r="E1013" s="12">
        <f>52.615 * CHOOSE( CONTROL!$C$15, $D$11, 100%, $F$11)</f>
        <v>52.615000000000002</v>
      </c>
      <c r="F1013" s="4">
        <f>53.629 * CHOOSE(CONTROL!$C$15, $D$11, 100%, $F$11)</f>
        <v>53.628999999999998</v>
      </c>
      <c r="G1013" s="8">
        <f>51.3075 * CHOOSE( CONTROL!$C$15, $D$11, 100%, $F$11)</f>
        <v>51.307499999999997</v>
      </c>
      <c r="H1013" s="4">
        <f>52.1998 * CHOOSE(CONTROL!$C$15, $D$11, 100%, $F$11)</f>
        <v>52.199800000000003</v>
      </c>
      <c r="I1013" s="8">
        <f>50.5362 * CHOOSE(CONTROL!$C$15, $D$11, 100%, $F$11)</f>
        <v>50.536200000000001</v>
      </c>
      <c r="J1013" s="4">
        <f>50.4024 * CHOOSE(CONTROL!$C$15, $D$11, 100%, $F$11)</f>
        <v>50.4024</v>
      </c>
      <c r="K1013" s="4"/>
      <c r="L1013" s="9">
        <v>27.3993</v>
      </c>
      <c r="M1013" s="9">
        <v>12.063700000000001</v>
      </c>
      <c r="N1013" s="9">
        <v>4.9444999999999997</v>
      </c>
      <c r="O1013" s="9">
        <v>0.37459999999999999</v>
      </c>
      <c r="P1013" s="9">
        <v>1.2939000000000001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49.2055 * CHOOSE(CONTROL!$C$15, $D$11, 100%, $F$11)</f>
        <v>49.205500000000001</v>
      </c>
      <c r="C1014" s="8">
        <f>49.2159 * CHOOSE(CONTROL!$C$15, $D$11, 100%, $F$11)</f>
        <v>49.215899999999998</v>
      </c>
      <c r="D1014" s="8">
        <f>49.2175 * CHOOSE( CONTROL!$C$15, $D$11, 100%, $F$11)</f>
        <v>49.217500000000001</v>
      </c>
      <c r="E1014" s="12">
        <f>49.2158 * CHOOSE( CONTROL!$C$15, $D$11, 100%, $F$11)</f>
        <v>49.215800000000002</v>
      </c>
      <c r="F1014" s="4">
        <f>50.2206 * CHOOSE(CONTROL!$C$15, $D$11, 100%, $F$11)</f>
        <v>50.220599999999997</v>
      </c>
      <c r="G1014" s="8">
        <f>47.9924 * CHOOSE( CONTROL!$C$15, $D$11, 100%, $F$11)</f>
        <v>47.992400000000004</v>
      </c>
      <c r="H1014" s="4">
        <f>48.8773 * CHOOSE(CONTROL!$C$15, $D$11, 100%, $F$11)</f>
        <v>48.877299999999998</v>
      </c>
      <c r="I1014" s="8">
        <f>47.2652 * CHOOSE(CONTROL!$C$15, $D$11, 100%, $F$11)</f>
        <v>47.2652</v>
      </c>
      <c r="J1014" s="4">
        <f>47.144 * CHOOSE(CONTROL!$C$15, $D$11, 100%, $F$11)</f>
        <v>47.143999999999998</v>
      </c>
      <c r="K1014" s="4"/>
      <c r="L1014" s="9">
        <v>24.747800000000002</v>
      </c>
      <c r="M1014" s="9">
        <v>10.8962</v>
      </c>
      <c r="N1014" s="9">
        <v>4.4660000000000002</v>
      </c>
      <c r="O1014" s="9">
        <v>0.33829999999999999</v>
      </c>
      <c r="P1014" s="9">
        <v>1.1687000000000001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48.1581 * CHOOSE(CONTROL!$C$15, $D$11, 100%, $F$11)</f>
        <v>48.158099999999997</v>
      </c>
      <c r="C1015" s="8">
        <f>48.1686 * CHOOSE(CONTROL!$C$15, $D$11, 100%, $F$11)</f>
        <v>48.168599999999998</v>
      </c>
      <c r="D1015" s="8">
        <f>48.1496 * CHOOSE( CONTROL!$C$15, $D$11, 100%, $F$11)</f>
        <v>48.1496</v>
      </c>
      <c r="E1015" s="12">
        <f>48.1554 * CHOOSE( CONTROL!$C$15, $D$11, 100%, $F$11)</f>
        <v>48.1554</v>
      </c>
      <c r="F1015" s="4">
        <f>49.1571 * CHOOSE(CONTROL!$C$15, $D$11, 100%, $F$11)</f>
        <v>49.1571</v>
      </c>
      <c r="G1015" s="8">
        <f>46.9508 * CHOOSE( CONTROL!$C$15, $D$11, 100%, $F$11)</f>
        <v>46.950800000000001</v>
      </c>
      <c r="H1015" s="4">
        <f>47.8406 * CHOOSE(CONTROL!$C$15, $D$11, 100%, $F$11)</f>
        <v>47.840600000000002</v>
      </c>
      <c r="I1015" s="8">
        <f>46.2216 * CHOOSE(CONTROL!$C$15, $D$11, 100%, $F$11)</f>
        <v>46.221600000000002</v>
      </c>
      <c r="J1015" s="4">
        <f>46.1404 * CHOOSE(CONTROL!$C$15, $D$11, 100%, $F$11)</f>
        <v>46.1404</v>
      </c>
      <c r="K1015" s="4"/>
      <c r="L1015" s="9">
        <v>27.3993</v>
      </c>
      <c r="M1015" s="9">
        <v>12.063700000000001</v>
      </c>
      <c r="N1015" s="9">
        <v>4.9444999999999997</v>
      </c>
      <c r="O1015" s="9">
        <v>0.37459999999999999</v>
      </c>
      <c r="P1015" s="9">
        <v>1.2939000000000001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48.89 * CHOOSE(CONTROL!$C$15, $D$11, 100%, $F$11)</f>
        <v>48.89</v>
      </c>
      <c r="C1016" s="8">
        <f>48.9005 * CHOOSE(CONTROL!$C$15, $D$11, 100%, $F$11)</f>
        <v>48.900500000000001</v>
      </c>
      <c r="D1016" s="8">
        <f>48.9045 * CHOOSE( CONTROL!$C$15, $D$11, 100%, $F$11)</f>
        <v>48.904499999999999</v>
      </c>
      <c r="E1016" s="12">
        <f>48.902 * CHOOSE( CONTROL!$C$15, $D$11, 100%, $F$11)</f>
        <v>48.902000000000001</v>
      </c>
      <c r="F1016" s="4">
        <f>49.8973 * CHOOSE(CONTROL!$C$15, $D$11, 100%, $F$11)</f>
        <v>49.897300000000001</v>
      </c>
      <c r="G1016" s="8">
        <f>47.6526 * CHOOSE( CONTROL!$C$15, $D$11, 100%, $F$11)</f>
        <v>47.6526</v>
      </c>
      <c r="H1016" s="4">
        <f>48.5622 * CHOOSE(CONTROL!$C$15, $D$11, 100%, $F$11)</f>
        <v>48.562199999999997</v>
      </c>
      <c r="I1016" s="8">
        <f>46.9133 * CHOOSE(CONTROL!$C$15, $D$11, 100%, $F$11)</f>
        <v>46.9133</v>
      </c>
      <c r="J1016" s="4">
        <f>46.8417 * CHOOSE(CONTROL!$C$15, $D$11, 100%, $F$11)</f>
        <v>46.841700000000003</v>
      </c>
      <c r="K1016" s="4"/>
      <c r="L1016" s="9">
        <v>27.988800000000001</v>
      </c>
      <c r="M1016" s="9">
        <v>11.6745</v>
      </c>
      <c r="N1016" s="9">
        <v>4.7850000000000001</v>
      </c>
      <c r="O1016" s="9">
        <v>0.36249999999999999</v>
      </c>
      <c r="P1016" s="9">
        <v>1.1798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CONTROL!$C$32, 50.1979, 50.1926) * CHOOSE(CONTROL!$C$15, $D$11, 100%, $F$11)</f>
        <v>50.197899999999997</v>
      </c>
      <c r="C1017" s="8">
        <f>CHOOSE( CONTROL!$C$32, 50.2083, 50.203) * CHOOSE(CONTROL!$C$15, $D$11, 100%, $F$11)</f>
        <v>50.208300000000001</v>
      </c>
      <c r="D1017" s="8">
        <f>CHOOSE( CONTROL!$C$32, 50.2211, 50.2159) * CHOOSE( CONTROL!$C$15, $D$11, 100%, $F$11)</f>
        <v>50.2211</v>
      </c>
      <c r="E1017" s="12">
        <f>CHOOSE( CONTROL!$C$32, 50.2149, 50.2096) * CHOOSE( CONTROL!$C$15, $D$11, 100%, $F$11)</f>
        <v>50.2149</v>
      </c>
      <c r="F1017" s="4">
        <f>CHOOSE( CONTROL!$C$32, 51.2208, 51.2155) * CHOOSE(CONTROL!$C$15, $D$11, 100%, $F$11)</f>
        <v>51.220799999999997</v>
      </c>
      <c r="G1017" s="8">
        <f>CHOOSE( CONTROL!$C$32, 48.933, 48.9279) * CHOOSE( CONTROL!$C$15, $D$11, 100%, $F$11)</f>
        <v>48.933</v>
      </c>
      <c r="H1017" s="4">
        <f>CHOOSE( CONTROL!$C$32, 49.8523, 49.8472) * CHOOSE(CONTROL!$C$15, $D$11, 100%, $F$11)</f>
        <v>49.8523</v>
      </c>
      <c r="I1017" s="8">
        <f>CHOOSE( CONTROL!$C$32, 48.1724, 48.1674) * CHOOSE(CONTROL!$C$15, $D$11, 100%, $F$11)</f>
        <v>48.172400000000003</v>
      </c>
      <c r="J1017" s="4">
        <f>CHOOSE( CONTROL!$C$32, 48.0948, 48.0898) * CHOOSE(CONTROL!$C$15, $D$11, 100%, $F$11)</f>
        <v>48.094799999999999</v>
      </c>
      <c r="K1017" s="4"/>
      <c r="L1017" s="9">
        <v>29.520499999999998</v>
      </c>
      <c r="M1017" s="9">
        <v>12.063700000000001</v>
      </c>
      <c r="N1017" s="9">
        <v>4.9444999999999997</v>
      </c>
      <c r="O1017" s="9">
        <v>0.37459999999999999</v>
      </c>
      <c r="P1017" s="9">
        <v>1.2192000000000001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CONTROL!$C$32, 49.391, 49.3857) * CHOOSE(CONTROL!$C$15, $D$11, 100%, $F$11)</f>
        <v>49.390999999999998</v>
      </c>
      <c r="C1018" s="8">
        <f>CHOOSE( CONTROL!$C$32, 49.4014, 49.3961) * CHOOSE(CONTROL!$C$15, $D$11, 100%, $F$11)</f>
        <v>49.401400000000002</v>
      </c>
      <c r="D1018" s="8">
        <f>CHOOSE( CONTROL!$C$32, 49.4218, 49.4166) * CHOOSE( CONTROL!$C$15, $D$11, 100%, $F$11)</f>
        <v>49.421799999999998</v>
      </c>
      <c r="E1018" s="12">
        <f>CHOOSE( CONTROL!$C$32, 49.4128, 49.4076) * CHOOSE( CONTROL!$C$15, $D$11, 100%, $F$11)</f>
        <v>49.412799999999997</v>
      </c>
      <c r="F1018" s="4">
        <f>CHOOSE( CONTROL!$C$32, 50.4264, 50.4211) * CHOOSE(CONTROL!$C$15, $D$11, 100%, $F$11)</f>
        <v>50.426400000000001</v>
      </c>
      <c r="G1018" s="8">
        <f>CHOOSE( CONTROL!$C$32, 48.1503, 48.1452) * CHOOSE( CONTROL!$C$15, $D$11, 100%, $F$11)</f>
        <v>48.150300000000001</v>
      </c>
      <c r="H1018" s="4">
        <f>CHOOSE( CONTROL!$C$32, 49.0779, 49.0728) * CHOOSE(CONTROL!$C$15, $D$11, 100%, $F$11)</f>
        <v>49.0779</v>
      </c>
      <c r="I1018" s="8">
        <f>CHOOSE( CONTROL!$C$32, 47.4041, 47.3991) * CHOOSE(CONTROL!$C$15, $D$11, 100%, $F$11)</f>
        <v>47.4041</v>
      </c>
      <c r="J1018" s="4">
        <f>CHOOSE( CONTROL!$C$32, 47.3217, 47.3166) * CHOOSE(CONTROL!$C$15, $D$11, 100%, $F$11)</f>
        <v>47.3217</v>
      </c>
      <c r="K1018" s="4"/>
      <c r="L1018" s="9">
        <v>28.568200000000001</v>
      </c>
      <c r="M1018" s="9">
        <v>11.6745</v>
      </c>
      <c r="N1018" s="9">
        <v>4.7850000000000001</v>
      </c>
      <c r="O1018" s="9">
        <v>0.36249999999999999</v>
      </c>
      <c r="P1018" s="9">
        <v>1.1798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CONTROL!$C$32, 51.5158, 51.5106) * CHOOSE(CONTROL!$C$15, $D$11, 100%, $F$11)</f>
        <v>51.515799999999999</v>
      </c>
      <c r="C1019" s="8">
        <f>CHOOSE( CONTROL!$C$32, 51.5263, 51.521) * CHOOSE(CONTROL!$C$15, $D$11, 100%, $F$11)</f>
        <v>51.526299999999999</v>
      </c>
      <c r="D1019" s="8">
        <f>CHOOSE( CONTROL!$C$32, 51.5369, 51.5316) * CHOOSE( CONTROL!$C$15, $D$11, 100%, $F$11)</f>
        <v>51.536900000000003</v>
      </c>
      <c r="E1019" s="12">
        <f>CHOOSE( CONTROL!$C$32, 51.5315, 51.5262) * CHOOSE( CONTROL!$C$15, $D$11, 100%, $F$11)</f>
        <v>51.531500000000001</v>
      </c>
      <c r="F1019" s="4">
        <f>CHOOSE( CONTROL!$C$32, 52.5513, 52.546) * CHOOSE(CONTROL!$C$15, $D$11, 100%, $F$11)</f>
        <v>52.551299999999998</v>
      </c>
      <c r="G1019" s="8">
        <f>CHOOSE( CONTROL!$C$32, 50.2083, 50.2032) * CHOOSE( CONTROL!$C$15, $D$11, 100%, $F$11)</f>
        <v>50.208300000000001</v>
      </c>
      <c r="H1019" s="4">
        <f>CHOOSE( CONTROL!$C$32, 51.1492, 51.1441) * CHOOSE(CONTROL!$C$15, $D$11, 100%, $F$11)</f>
        <v>51.1492</v>
      </c>
      <c r="I1019" s="8">
        <f>CHOOSE( CONTROL!$C$32, 49.4445, 49.4395) * CHOOSE(CONTROL!$C$15, $D$11, 100%, $F$11)</f>
        <v>49.444499999999998</v>
      </c>
      <c r="J1019" s="4">
        <f>CHOOSE( CONTROL!$C$32, 49.3577, 49.3527) * CHOOSE(CONTROL!$C$15, $D$11, 100%, $F$11)</f>
        <v>49.357700000000001</v>
      </c>
      <c r="K1019" s="4"/>
      <c r="L1019" s="9">
        <v>29.520499999999998</v>
      </c>
      <c r="M1019" s="9">
        <v>12.063700000000001</v>
      </c>
      <c r="N1019" s="9">
        <v>4.9444999999999997</v>
      </c>
      <c r="O1019" s="9">
        <v>0.37459999999999999</v>
      </c>
      <c r="P1019" s="9">
        <v>1.2192000000000001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CONTROL!$C$32, 47.54, 47.5347) * CHOOSE(CONTROL!$C$15, $D$11, 100%, $F$11)</f>
        <v>47.54</v>
      </c>
      <c r="C1020" s="8">
        <f>CHOOSE( CONTROL!$C$32, 47.5504, 47.5451) * CHOOSE(CONTROL!$C$15, $D$11, 100%, $F$11)</f>
        <v>47.550400000000003</v>
      </c>
      <c r="D1020" s="8">
        <f>CHOOSE( CONTROL!$C$32, 47.5613, 47.5561) * CHOOSE( CONTROL!$C$15, $D$11, 100%, $F$11)</f>
        <v>47.561300000000003</v>
      </c>
      <c r="E1020" s="12">
        <f>CHOOSE( CONTROL!$C$32, 47.5558, 47.5505) * CHOOSE( CONTROL!$C$15, $D$11, 100%, $F$11)</f>
        <v>47.555799999999998</v>
      </c>
      <c r="F1020" s="4">
        <f>CHOOSE( CONTROL!$C$32, 48.5754, 48.5701) * CHOOSE(CONTROL!$C$15, $D$11, 100%, $F$11)</f>
        <v>48.575400000000002</v>
      </c>
      <c r="G1020" s="8">
        <f>CHOOSE( CONTROL!$C$32, 46.3333, 46.3282) * CHOOSE( CONTROL!$C$15, $D$11, 100%, $F$11)</f>
        <v>46.333300000000001</v>
      </c>
      <c r="H1020" s="4">
        <f>CHOOSE( CONTROL!$C$32, 47.2737, 47.2685) * CHOOSE(CONTROL!$C$15, $D$11, 100%, $F$11)</f>
        <v>47.273699999999998</v>
      </c>
      <c r="I1020" s="8">
        <f>CHOOSE( CONTROL!$C$32, 45.6346, 45.6296) * CHOOSE(CONTROL!$C$15, $D$11, 100%, $F$11)</f>
        <v>45.634599999999999</v>
      </c>
      <c r="J1020" s="4">
        <f>CHOOSE( CONTROL!$C$32, 45.548, 45.543) * CHOOSE(CONTROL!$C$15, $D$11, 100%, $F$11)</f>
        <v>45.548000000000002</v>
      </c>
      <c r="K1020" s="4"/>
      <c r="L1020" s="9">
        <v>29.520499999999998</v>
      </c>
      <c r="M1020" s="9">
        <v>12.063700000000001</v>
      </c>
      <c r="N1020" s="9">
        <v>4.9444999999999997</v>
      </c>
      <c r="O1020" s="9">
        <v>0.37459999999999999</v>
      </c>
      <c r="P1020" s="9">
        <v>1.2192000000000001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CONTROL!$C$32, 46.5444, 46.5391) * CHOOSE(CONTROL!$C$15, $D$11, 100%, $F$11)</f>
        <v>46.544400000000003</v>
      </c>
      <c r="C1021" s="8">
        <f>CHOOSE( CONTROL!$C$32, 46.5548, 46.5495) * CHOOSE(CONTROL!$C$15, $D$11, 100%, $F$11)</f>
        <v>46.5548</v>
      </c>
      <c r="D1021" s="8">
        <f>CHOOSE( CONTROL!$C$32, 46.5659, 46.5606) * CHOOSE( CONTROL!$C$15, $D$11, 100%, $F$11)</f>
        <v>46.565899999999999</v>
      </c>
      <c r="E1021" s="12">
        <f>CHOOSE( CONTROL!$C$32, 46.5603, 46.555) * CHOOSE( CONTROL!$C$15, $D$11, 100%, $F$11)</f>
        <v>46.560299999999998</v>
      </c>
      <c r="F1021" s="4">
        <f>CHOOSE( CONTROL!$C$32, 47.5798, 47.5745) * CHOOSE(CONTROL!$C$15, $D$11, 100%, $F$11)</f>
        <v>47.579799999999999</v>
      </c>
      <c r="G1021" s="8">
        <f>CHOOSE( CONTROL!$C$32, 45.363, 45.3579) * CHOOSE( CONTROL!$C$15, $D$11, 100%, $F$11)</f>
        <v>45.363</v>
      </c>
      <c r="H1021" s="4">
        <f>CHOOSE( CONTROL!$C$32, 46.3032, 46.298) * CHOOSE(CONTROL!$C$15, $D$11, 100%, $F$11)</f>
        <v>46.303199999999997</v>
      </c>
      <c r="I1021" s="8">
        <f>CHOOSE( CONTROL!$C$32, 44.6808, 44.6758) * CHOOSE(CONTROL!$C$15, $D$11, 100%, $F$11)</f>
        <v>44.680799999999998</v>
      </c>
      <c r="J1021" s="4">
        <f>CHOOSE( CONTROL!$C$32, 44.5941, 44.589) * CHOOSE(CONTROL!$C$15, $D$11, 100%, $F$11)</f>
        <v>44.594099999999997</v>
      </c>
      <c r="K1021" s="4"/>
      <c r="L1021" s="9">
        <v>28.568200000000001</v>
      </c>
      <c r="M1021" s="9">
        <v>11.6745</v>
      </c>
      <c r="N1021" s="9">
        <v>4.7850000000000001</v>
      </c>
      <c r="O1021" s="9">
        <v>0.36249999999999999</v>
      </c>
      <c r="P1021" s="9">
        <v>1.1798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48.6063 * CHOOSE(CONTROL!$C$15, $D$11, 100%, $F$11)</f>
        <v>48.606299999999997</v>
      </c>
      <c r="C1022" s="8">
        <f>48.6168 * CHOOSE(CONTROL!$C$15, $D$11, 100%, $F$11)</f>
        <v>48.616799999999998</v>
      </c>
      <c r="D1022" s="8">
        <f>48.6291 * CHOOSE( CONTROL!$C$15, $D$11, 100%, $F$11)</f>
        <v>48.629100000000001</v>
      </c>
      <c r="E1022" s="12">
        <f>48.6239 * CHOOSE( CONTROL!$C$15, $D$11, 100%, $F$11)</f>
        <v>48.623899999999999</v>
      </c>
      <c r="F1022" s="4">
        <f>49.6417 * CHOOSE(CONTROL!$C$15, $D$11, 100%, $F$11)</f>
        <v>49.6417</v>
      </c>
      <c r="G1022" s="8">
        <f>47.3723 * CHOOSE( CONTROL!$C$15, $D$11, 100%, $F$11)</f>
        <v>47.372300000000003</v>
      </c>
      <c r="H1022" s="4">
        <f>48.3131 * CHOOSE(CONTROL!$C$15, $D$11, 100%, $F$11)</f>
        <v>48.313099999999999</v>
      </c>
      <c r="I1022" s="8">
        <f>46.659 * CHOOSE(CONTROL!$C$15, $D$11, 100%, $F$11)</f>
        <v>46.658999999999999</v>
      </c>
      <c r="J1022" s="4">
        <f>46.5698 * CHOOSE(CONTROL!$C$15, $D$11, 100%, $F$11)</f>
        <v>46.569800000000001</v>
      </c>
      <c r="K1022" s="4"/>
      <c r="L1022" s="9">
        <v>28.921800000000001</v>
      </c>
      <c r="M1022" s="9">
        <v>12.063700000000001</v>
      </c>
      <c r="N1022" s="9">
        <v>4.9444999999999997</v>
      </c>
      <c r="O1022" s="9">
        <v>0.37459999999999999</v>
      </c>
      <c r="P1022" s="9">
        <v>1.2192000000000001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52.422 * CHOOSE(CONTROL!$C$15, $D$11, 100%, $F$11)</f>
        <v>52.421999999999997</v>
      </c>
      <c r="C1023" s="8">
        <f>52.4324 * CHOOSE(CONTROL!$C$15, $D$11, 100%, $F$11)</f>
        <v>52.432400000000001</v>
      </c>
      <c r="D1023" s="8">
        <f>52.4162 * CHOOSE( CONTROL!$C$15, $D$11, 100%, $F$11)</f>
        <v>52.416200000000003</v>
      </c>
      <c r="E1023" s="12">
        <f>52.421 * CHOOSE( CONTROL!$C$15, $D$11, 100%, $F$11)</f>
        <v>52.420999999999999</v>
      </c>
      <c r="F1023" s="4">
        <f>53.4162 * CHOOSE(CONTROL!$C$15, $D$11, 100%, $F$11)</f>
        <v>53.416200000000003</v>
      </c>
      <c r="G1023" s="8">
        <f>51.1127 * CHOOSE( CONTROL!$C$15, $D$11, 100%, $F$11)</f>
        <v>51.112699999999997</v>
      </c>
      <c r="H1023" s="4">
        <f>51.9923 * CHOOSE(CONTROL!$C$15, $D$11, 100%, $F$11)</f>
        <v>51.9923</v>
      </c>
      <c r="I1023" s="8">
        <f>50.3538 * CHOOSE(CONTROL!$C$15, $D$11, 100%, $F$11)</f>
        <v>50.3538</v>
      </c>
      <c r="J1023" s="4">
        <f>50.226 * CHOOSE(CONTROL!$C$15, $D$11, 100%, $F$11)</f>
        <v>50.225999999999999</v>
      </c>
      <c r="K1023" s="4"/>
      <c r="L1023" s="9">
        <v>26.515499999999999</v>
      </c>
      <c r="M1023" s="9">
        <v>11.6745</v>
      </c>
      <c r="N1023" s="9">
        <v>4.7850000000000001</v>
      </c>
      <c r="O1023" s="9">
        <v>0.36249999999999999</v>
      </c>
      <c r="P1023" s="9">
        <v>1.2522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52.3266 * CHOOSE(CONTROL!$C$15, $D$11, 100%, $F$11)</f>
        <v>52.326599999999999</v>
      </c>
      <c r="C1024" s="8">
        <f>52.3371 * CHOOSE(CONTROL!$C$15, $D$11, 100%, $F$11)</f>
        <v>52.3371</v>
      </c>
      <c r="D1024" s="8">
        <f>52.3231 * CHOOSE( CONTROL!$C$15, $D$11, 100%, $F$11)</f>
        <v>52.323099999999997</v>
      </c>
      <c r="E1024" s="12">
        <f>52.3271 * CHOOSE( CONTROL!$C$15, $D$11, 100%, $F$11)</f>
        <v>52.327100000000002</v>
      </c>
      <c r="F1024" s="4">
        <f>53.3208 * CHOOSE(CONTROL!$C$15, $D$11, 100%, $F$11)</f>
        <v>53.320799999999998</v>
      </c>
      <c r="G1024" s="8">
        <f>51.0215 * CHOOSE( CONTROL!$C$15, $D$11, 100%, $F$11)</f>
        <v>51.021500000000003</v>
      </c>
      <c r="H1024" s="4">
        <f>51.8994 * CHOOSE(CONTROL!$C$15, $D$11, 100%, $F$11)</f>
        <v>51.8994</v>
      </c>
      <c r="I1024" s="8">
        <f>50.27 * CHOOSE(CONTROL!$C$15, $D$11, 100%, $F$11)</f>
        <v>50.27</v>
      </c>
      <c r="J1024" s="4">
        <f>50.1346 * CHOOSE(CONTROL!$C$15, $D$11, 100%, $F$11)</f>
        <v>50.134599999999999</v>
      </c>
      <c r="K1024" s="4"/>
      <c r="L1024" s="9">
        <v>27.3993</v>
      </c>
      <c r="M1024" s="9">
        <v>12.063700000000001</v>
      </c>
      <c r="N1024" s="9">
        <v>4.9444999999999997</v>
      </c>
      <c r="O1024" s="9">
        <v>0.37459999999999999</v>
      </c>
      <c r="P1024" s="9">
        <v>1.2939000000000001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54.3263 * CHOOSE(CONTROL!$C$15, $D$11, 100%, $F$11)</f>
        <v>54.326300000000003</v>
      </c>
      <c r="C1025" s="8">
        <f>54.3368 * CHOOSE(CONTROL!$C$15, $D$11, 100%, $F$11)</f>
        <v>54.336799999999997</v>
      </c>
      <c r="D1025" s="8">
        <f>54.3361 * CHOOSE( CONTROL!$C$15, $D$11, 100%, $F$11)</f>
        <v>54.336100000000002</v>
      </c>
      <c r="E1025" s="12">
        <f>54.3352 * CHOOSE( CONTROL!$C$15, $D$11, 100%, $F$11)</f>
        <v>54.3352</v>
      </c>
      <c r="F1025" s="4">
        <f>55.3492 * CHOOSE(CONTROL!$C$15, $D$11, 100%, $F$11)</f>
        <v>55.349200000000003</v>
      </c>
      <c r="G1025" s="8">
        <f>52.9843 * CHOOSE( CONTROL!$C$15, $D$11, 100%, $F$11)</f>
        <v>52.984299999999998</v>
      </c>
      <c r="H1025" s="4">
        <f>53.8766 * CHOOSE(CONTROL!$C$15, $D$11, 100%, $F$11)</f>
        <v>53.876600000000003</v>
      </c>
      <c r="I1025" s="8">
        <f>52.1854 * CHOOSE(CONTROL!$C$15, $D$11, 100%, $F$11)</f>
        <v>52.185400000000001</v>
      </c>
      <c r="J1025" s="4">
        <f>52.0507 * CHOOSE(CONTROL!$C$15, $D$11, 100%, $F$11)</f>
        <v>52.050699999999999</v>
      </c>
      <c r="K1025" s="4"/>
      <c r="L1025" s="9">
        <v>27.3993</v>
      </c>
      <c r="M1025" s="9">
        <v>12.063700000000001</v>
      </c>
      <c r="N1025" s="9">
        <v>4.9444999999999997</v>
      </c>
      <c r="O1025" s="9">
        <v>0.37459999999999999</v>
      </c>
      <c r="P1025" s="9">
        <v>1.2939000000000001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50.8146 * CHOOSE(CONTROL!$C$15, $D$11, 100%, $F$11)</f>
        <v>50.814599999999999</v>
      </c>
      <c r="C1026" s="8">
        <f>50.825 * CHOOSE(CONTROL!$C$15, $D$11, 100%, $F$11)</f>
        <v>50.825000000000003</v>
      </c>
      <c r="D1026" s="8">
        <f>50.8265 * CHOOSE( CONTROL!$C$15, $D$11, 100%, $F$11)</f>
        <v>50.826500000000003</v>
      </c>
      <c r="E1026" s="12">
        <f>50.8248 * CHOOSE( CONTROL!$C$15, $D$11, 100%, $F$11)</f>
        <v>50.824800000000003</v>
      </c>
      <c r="F1026" s="4">
        <f>51.8296 * CHOOSE(CONTROL!$C$15, $D$11, 100%, $F$11)</f>
        <v>51.829599999999999</v>
      </c>
      <c r="G1026" s="8">
        <f>49.5609 * CHOOSE( CONTROL!$C$15, $D$11, 100%, $F$11)</f>
        <v>49.560899999999997</v>
      </c>
      <c r="H1026" s="4">
        <f>50.4458 * CHOOSE(CONTROL!$C$15, $D$11, 100%, $F$11)</f>
        <v>50.445799999999998</v>
      </c>
      <c r="I1026" s="8">
        <f>48.8078 * CHOOSE(CONTROL!$C$15, $D$11, 100%, $F$11)</f>
        <v>48.8078</v>
      </c>
      <c r="J1026" s="4">
        <f>48.6857 * CHOOSE(CONTROL!$C$15, $D$11, 100%, $F$11)</f>
        <v>48.685699999999997</v>
      </c>
      <c r="K1026" s="4"/>
      <c r="L1026" s="9">
        <v>24.747800000000002</v>
      </c>
      <c r="M1026" s="9">
        <v>10.8962</v>
      </c>
      <c r="N1026" s="9">
        <v>4.4660000000000002</v>
      </c>
      <c r="O1026" s="9">
        <v>0.33829999999999999</v>
      </c>
      <c r="P1026" s="9">
        <v>1.1687000000000001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49.7329 * CHOOSE(CONTROL!$C$15, $D$11, 100%, $F$11)</f>
        <v>49.732900000000001</v>
      </c>
      <c r="C1027" s="8">
        <f>49.7434 * CHOOSE(CONTROL!$C$15, $D$11, 100%, $F$11)</f>
        <v>49.743400000000001</v>
      </c>
      <c r="D1027" s="8">
        <f>49.7244 * CHOOSE( CONTROL!$C$15, $D$11, 100%, $F$11)</f>
        <v>49.724400000000003</v>
      </c>
      <c r="E1027" s="12">
        <f>49.7302 * CHOOSE( CONTROL!$C$15, $D$11, 100%, $F$11)</f>
        <v>49.730200000000004</v>
      </c>
      <c r="F1027" s="4">
        <f>50.7318 * CHOOSE(CONTROL!$C$15, $D$11, 100%, $F$11)</f>
        <v>50.7318</v>
      </c>
      <c r="G1027" s="8">
        <f>48.4858 * CHOOSE( CONTROL!$C$15, $D$11, 100%, $F$11)</f>
        <v>48.485799999999998</v>
      </c>
      <c r="H1027" s="4">
        <f>49.3757 * CHOOSE(CONTROL!$C$15, $D$11, 100%, $F$11)</f>
        <v>49.375700000000002</v>
      </c>
      <c r="I1027" s="8">
        <f>47.7313 * CHOOSE(CONTROL!$C$15, $D$11, 100%, $F$11)</f>
        <v>47.731299999999997</v>
      </c>
      <c r="J1027" s="4">
        <f>47.6493 * CHOOSE(CONTROL!$C$15, $D$11, 100%, $F$11)</f>
        <v>47.649299999999997</v>
      </c>
      <c r="K1027" s="4"/>
      <c r="L1027" s="9">
        <v>27.3993</v>
      </c>
      <c r="M1027" s="9">
        <v>12.063700000000001</v>
      </c>
      <c r="N1027" s="9">
        <v>4.9444999999999997</v>
      </c>
      <c r="O1027" s="9">
        <v>0.37459999999999999</v>
      </c>
      <c r="P1027" s="9">
        <v>1.2939000000000001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50.4887 * CHOOSE(CONTROL!$C$15, $D$11, 100%, $F$11)</f>
        <v>50.488700000000001</v>
      </c>
      <c r="C1028" s="8">
        <f>50.4992 * CHOOSE(CONTROL!$C$15, $D$11, 100%, $F$11)</f>
        <v>50.499200000000002</v>
      </c>
      <c r="D1028" s="8">
        <f>50.5032 * CHOOSE( CONTROL!$C$15, $D$11, 100%, $F$11)</f>
        <v>50.5032</v>
      </c>
      <c r="E1028" s="12">
        <f>50.5007 * CHOOSE( CONTROL!$C$15, $D$11, 100%, $F$11)</f>
        <v>50.500700000000002</v>
      </c>
      <c r="F1028" s="4">
        <f>51.496 * CHOOSE(CONTROL!$C$15, $D$11, 100%, $F$11)</f>
        <v>51.496000000000002</v>
      </c>
      <c r="G1028" s="8">
        <f>49.211 * CHOOSE( CONTROL!$C$15, $D$11, 100%, $F$11)</f>
        <v>49.210999999999999</v>
      </c>
      <c r="H1028" s="4">
        <f>50.1206 * CHOOSE(CONTROL!$C$15, $D$11, 100%, $F$11)</f>
        <v>50.120600000000003</v>
      </c>
      <c r="I1028" s="8">
        <f>48.446 * CHOOSE(CONTROL!$C$15, $D$11, 100%, $F$11)</f>
        <v>48.445999999999998</v>
      </c>
      <c r="J1028" s="4">
        <f>48.3736 * CHOOSE(CONTROL!$C$15, $D$11, 100%, $F$11)</f>
        <v>48.373600000000003</v>
      </c>
      <c r="K1028" s="4"/>
      <c r="L1028" s="9">
        <v>27.988800000000001</v>
      </c>
      <c r="M1028" s="9">
        <v>11.6745</v>
      </c>
      <c r="N1028" s="9">
        <v>4.7850000000000001</v>
      </c>
      <c r="O1028" s="9">
        <v>0.36249999999999999</v>
      </c>
      <c r="P1028" s="9">
        <v>1.1798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CONTROL!$C$32, 51.8392, 51.8339) * CHOOSE(CONTROL!$C$15, $D$11, 100%, $F$11)</f>
        <v>51.839199999999998</v>
      </c>
      <c r="C1029" s="8">
        <f>CHOOSE( CONTROL!$C$32, 51.8496, 51.8444) * CHOOSE(CONTROL!$C$15, $D$11, 100%, $F$11)</f>
        <v>51.849600000000002</v>
      </c>
      <c r="D1029" s="8">
        <f>CHOOSE( CONTROL!$C$32, 51.8624, 51.8572) * CHOOSE( CONTROL!$C$15, $D$11, 100%, $F$11)</f>
        <v>51.862400000000001</v>
      </c>
      <c r="E1029" s="12">
        <f>CHOOSE( CONTROL!$C$32, 51.8562, 51.851) * CHOOSE( CONTROL!$C$15, $D$11, 100%, $F$11)</f>
        <v>51.856200000000001</v>
      </c>
      <c r="F1029" s="4">
        <f>CHOOSE( CONTROL!$C$32, 52.8621, 52.8568) * CHOOSE(CONTROL!$C$15, $D$11, 100%, $F$11)</f>
        <v>52.862099999999998</v>
      </c>
      <c r="G1029" s="8">
        <f>CHOOSE( CONTROL!$C$32, 50.5329, 50.5278) * CHOOSE( CONTROL!$C$15, $D$11, 100%, $F$11)</f>
        <v>50.532899999999998</v>
      </c>
      <c r="H1029" s="4">
        <f>CHOOSE( CONTROL!$C$32, 51.4522, 51.4471) * CHOOSE(CONTROL!$C$15, $D$11, 100%, $F$11)</f>
        <v>51.452199999999998</v>
      </c>
      <c r="I1029" s="8">
        <f>CHOOSE( CONTROL!$C$32, 49.7459, 49.7409) * CHOOSE(CONTROL!$C$15, $D$11, 100%, $F$11)</f>
        <v>49.745899999999999</v>
      </c>
      <c r="J1029" s="4">
        <f>CHOOSE( CONTROL!$C$32, 49.6675, 49.6625) * CHOOSE(CONTROL!$C$15, $D$11, 100%, $F$11)</f>
        <v>49.667499999999997</v>
      </c>
      <c r="K1029" s="4"/>
      <c r="L1029" s="9">
        <v>29.520499999999998</v>
      </c>
      <c r="M1029" s="9">
        <v>12.063700000000001</v>
      </c>
      <c r="N1029" s="9">
        <v>4.9444999999999997</v>
      </c>
      <c r="O1029" s="9">
        <v>0.37459999999999999</v>
      </c>
      <c r="P1029" s="9">
        <v>1.2192000000000001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CONTROL!$C$32, 51.0059, 51.0006) * CHOOSE(CONTROL!$C$15, $D$11, 100%, $F$11)</f>
        <v>51.005899999999997</v>
      </c>
      <c r="C1030" s="8">
        <f>CHOOSE( CONTROL!$C$32, 51.0163, 51.0111) * CHOOSE(CONTROL!$C$15, $D$11, 100%, $F$11)</f>
        <v>51.016300000000001</v>
      </c>
      <c r="D1030" s="8">
        <f>CHOOSE( CONTROL!$C$32, 51.0368, 51.0315) * CHOOSE( CONTROL!$C$15, $D$11, 100%, $F$11)</f>
        <v>51.036799999999999</v>
      </c>
      <c r="E1030" s="12">
        <f>CHOOSE( CONTROL!$C$32, 51.0278, 51.0225) * CHOOSE( CONTROL!$C$15, $D$11, 100%, $F$11)</f>
        <v>51.027799999999999</v>
      </c>
      <c r="F1030" s="4">
        <f>CHOOSE( CONTROL!$C$32, 52.0413, 52.0361) * CHOOSE(CONTROL!$C$15, $D$11, 100%, $F$11)</f>
        <v>52.0413</v>
      </c>
      <c r="G1030" s="8">
        <f>CHOOSE( CONTROL!$C$32, 49.7245, 49.7194) * CHOOSE( CONTROL!$C$15, $D$11, 100%, $F$11)</f>
        <v>49.724499999999999</v>
      </c>
      <c r="H1030" s="4">
        <f>CHOOSE( CONTROL!$C$32, 50.6521, 50.647) * CHOOSE(CONTROL!$C$15, $D$11, 100%, $F$11)</f>
        <v>50.652099999999997</v>
      </c>
      <c r="I1030" s="8">
        <f>CHOOSE( CONTROL!$C$32, 48.9523, 48.9473) * CHOOSE(CONTROL!$C$15, $D$11, 100%, $F$11)</f>
        <v>48.952300000000001</v>
      </c>
      <c r="J1030" s="4">
        <f>CHOOSE( CONTROL!$C$32, 48.8691, 48.864) * CHOOSE(CONTROL!$C$15, $D$11, 100%, $F$11)</f>
        <v>48.869100000000003</v>
      </c>
      <c r="K1030" s="4"/>
      <c r="L1030" s="9">
        <v>28.568200000000001</v>
      </c>
      <c r="M1030" s="9">
        <v>11.6745</v>
      </c>
      <c r="N1030" s="9">
        <v>4.7850000000000001</v>
      </c>
      <c r="O1030" s="9">
        <v>0.36249999999999999</v>
      </c>
      <c r="P1030" s="9">
        <v>1.1798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CONTROL!$C$32, 53.2002, 53.195) * CHOOSE(CONTROL!$C$15, $D$11, 100%, $F$11)</f>
        <v>53.200200000000002</v>
      </c>
      <c r="C1031" s="8">
        <f>CHOOSE( CONTROL!$C$32, 53.2107, 53.2054) * CHOOSE(CONTROL!$C$15, $D$11, 100%, $F$11)</f>
        <v>53.210700000000003</v>
      </c>
      <c r="D1031" s="8">
        <f>CHOOSE( CONTROL!$C$32, 53.2213, 53.216) * CHOOSE( CONTROL!$C$15, $D$11, 100%, $F$11)</f>
        <v>53.221299999999999</v>
      </c>
      <c r="E1031" s="12">
        <f>CHOOSE( CONTROL!$C$32, 53.2159, 53.2106) * CHOOSE( CONTROL!$C$15, $D$11, 100%, $F$11)</f>
        <v>53.215899999999998</v>
      </c>
      <c r="F1031" s="4">
        <f>CHOOSE( CONTROL!$C$32, 54.2357, 54.2304) * CHOOSE(CONTROL!$C$15, $D$11, 100%, $F$11)</f>
        <v>54.235700000000001</v>
      </c>
      <c r="G1031" s="8">
        <f>CHOOSE( CONTROL!$C$32, 51.8503, 51.8451) * CHOOSE( CONTROL!$C$15, $D$11, 100%, $F$11)</f>
        <v>51.850299999999997</v>
      </c>
      <c r="H1031" s="4">
        <f>CHOOSE( CONTROL!$C$32, 52.7911, 52.786) * CHOOSE(CONTROL!$C$15, $D$11, 100%, $F$11)</f>
        <v>52.7911</v>
      </c>
      <c r="I1031" s="8">
        <f>CHOOSE( CONTROL!$C$32, 51.0594, 51.0543) * CHOOSE(CONTROL!$C$15, $D$11, 100%, $F$11)</f>
        <v>51.059399999999997</v>
      </c>
      <c r="J1031" s="4">
        <f>CHOOSE( CONTROL!$C$32, 50.9717, 50.9667) * CHOOSE(CONTROL!$C$15, $D$11, 100%, $F$11)</f>
        <v>50.971699999999998</v>
      </c>
      <c r="K1031" s="4"/>
      <c r="L1031" s="9">
        <v>29.520499999999998</v>
      </c>
      <c r="M1031" s="9">
        <v>12.063700000000001</v>
      </c>
      <c r="N1031" s="9">
        <v>4.9444999999999997</v>
      </c>
      <c r="O1031" s="9">
        <v>0.37459999999999999</v>
      </c>
      <c r="P1031" s="9">
        <v>1.2192000000000001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CONTROL!$C$32, 49.0944, 49.0891) * CHOOSE(CONTROL!$C$15, $D$11, 100%, $F$11)</f>
        <v>49.0944</v>
      </c>
      <c r="C1032" s="8">
        <f>CHOOSE( CONTROL!$C$32, 49.1048, 49.0995) * CHOOSE(CONTROL!$C$15, $D$11, 100%, $F$11)</f>
        <v>49.104799999999997</v>
      </c>
      <c r="D1032" s="8">
        <f>CHOOSE( CONTROL!$C$32, 49.1157, 49.1105) * CHOOSE( CONTROL!$C$15, $D$11, 100%, $F$11)</f>
        <v>49.115699999999997</v>
      </c>
      <c r="E1032" s="12">
        <f>CHOOSE( CONTROL!$C$32, 49.1102, 49.1049) * CHOOSE( CONTROL!$C$15, $D$11, 100%, $F$11)</f>
        <v>49.110199999999999</v>
      </c>
      <c r="F1032" s="4">
        <f>CHOOSE( CONTROL!$C$32, 50.1298, 50.1245) * CHOOSE(CONTROL!$C$15, $D$11, 100%, $F$11)</f>
        <v>50.129800000000003</v>
      </c>
      <c r="G1032" s="8">
        <f>CHOOSE( CONTROL!$C$32, 47.8485, 47.8433) * CHOOSE( CONTROL!$C$15, $D$11, 100%, $F$11)</f>
        <v>47.848500000000001</v>
      </c>
      <c r="H1032" s="4">
        <f>CHOOSE( CONTROL!$C$32, 48.7888, 48.7837) * CHOOSE(CONTROL!$C$15, $D$11, 100%, $F$11)</f>
        <v>48.788800000000002</v>
      </c>
      <c r="I1032" s="8">
        <f>CHOOSE( CONTROL!$C$32, 47.1248, 47.1197) * CHOOSE(CONTROL!$C$15, $D$11, 100%, $F$11)</f>
        <v>47.1248</v>
      </c>
      <c r="J1032" s="4">
        <f>CHOOSE( CONTROL!$C$32, 47.0375, 47.0324) * CHOOSE(CONTROL!$C$15, $D$11, 100%, $F$11)</f>
        <v>47.037500000000001</v>
      </c>
      <c r="K1032" s="4"/>
      <c r="L1032" s="9">
        <v>29.520499999999998</v>
      </c>
      <c r="M1032" s="9">
        <v>12.063700000000001</v>
      </c>
      <c r="N1032" s="9">
        <v>4.9444999999999997</v>
      </c>
      <c r="O1032" s="9">
        <v>0.37459999999999999</v>
      </c>
      <c r="P1032" s="9">
        <v>1.2192000000000001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CONTROL!$C$32, 48.0662, 48.0609) * CHOOSE(CONTROL!$C$15, $D$11, 100%, $F$11)</f>
        <v>48.066200000000002</v>
      </c>
      <c r="C1033" s="8">
        <f>CHOOSE( CONTROL!$C$32, 48.0766, 48.0714) * CHOOSE(CONTROL!$C$15, $D$11, 100%, $F$11)</f>
        <v>48.076599999999999</v>
      </c>
      <c r="D1033" s="8">
        <f>CHOOSE( CONTROL!$C$32, 48.0877, 48.0825) * CHOOSE( CONTROL!$C$15, $D$11, 100%, $F$11)</f>
        <v>48.087699999999998</v>
      </c>
      <c r="E1033" s="12">
        <f>CHOOSE( CONTROL!$C$32, 48.0821, 48.0769) * CHOOSE( CONTROL!$C$15, $D$11, 100%, $F$11)</f>
        <v>48.082099999999997</v>
      </c>
      <c r="F1033" s="4">
        <f>CHOOSE( CONTROL!$C$32, 49.1016, 49.0964) * CHOOSE(CONTROL!$C$15, $D$11, 100%, $F$11)</f>
        <v>49.101599999999998</v>
      </c>
      <c r="G1033" s="8">
        <f>CHOOSE( CONTROL!$C$32, 46.8465, 46.8413) * CHOOSE( CONTROL!$C$15, $D$11, 100%, $F$11)</f>
        <v>46.846499999999999</v>
      </c>
      <c r="H1033" s="4">
        <f>CHOOSE( CONTROL!$C$32, 47.7866, 47.7815) * CHOOSE(CONTROL!$C$15, $D$11, 100%, $F$11)</f>
        <v>47.7866</v>
      </c>
      <c r="I1033" s="8">
        <f>CHOOSE( CONTROL!$C$32, 46.1398, 46.1347) * CHOOSE(CONTROL!$C$15, $D$11, 100%, $F$11)</f>
        <v>46.139800000000001</v>
      </c>
      <c r="J1033" s="4">
        <f>CHOOSE( CONTROL!$C$32, 46.0523, 46.0472) * CHOOSE(CONTROL!$C$15, $D$11, 100%, $F$11)</f>
        <v>46.052300000000002</v>
      </c>
      <c r="K1033" s="4"/>
      <c r="L1033" s="9">
        <v>28.568200000000001</v>
      </c>
      <c r="M1033" s="9">
        <v>11.6745</v>
      </c>
      <c r="N1033" s="9">
        <v>4.7850000000000001</v>
      </c>
      <c r="O1033" s="9">
        <v>0.36249999999999999</v>
      </c>
      <c r="P1033" s="9">
        <v>1.1798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50.1958 * CHOOSE(CONTROL!$C$15, $D$11, 100%, $F$11)</f>
        <v>50.195799999999998</v>
      </c>
      <c r="C1034" s="8">
        <f>50.2062 * CHOOSE(CONTROL!$C$15, $D$11, 100%, $F$11)</f>
        <v>50.206200000000003</v>
      </c>
      <c r="D1034" s="8">
        <f>50.2186 * CHOOSE( CONTROL!$C$15, $D$11, 100%, $F$11)</f>
        <v>50.218600000000002</v>
      </c>
      <c r="E1034" s="12">
        <f>50.2134 * CHOOSE( CONTROL!$C$15, $D$11, 100%, $F$11)</f>
        <v>50.2134</v>
      </c>
      <c r="F1034" s="4">
        <f>51.2312 * CHOOSE(CONTROL!$C$15, $D$11, 100%, $F$11)</f>
        <v>51.231200000000001</v>
      </c>
      <c r="G1034" s="8">
        <f>48.9216 * CHOOSE( CONTROL!$C$15, $D$11, 100%, $F$11)</f>
        <v>48.921599999999998</v>
      </c>
      <c r="H1034" s="4">
        <f>49.8624 * CHOOSE(CONTROL!$C$15, $D$11, 100%, $F$11)</f>
        <v>49.862400000000001</v>
      </c>
      <c r="I1034" s="8">
        <f>48.1828 * CHOOSE(CONTROL!$C$15, $D$11, 100%, $F$11)</f>
        <v>48.1828</v>
      </c>
      <c r="J1034" s="4">
        <f>48.0928 * CHOOSE(CONTROL!$C$15, $D$11, 100%, $F$11)</f>
        <v>48.092799999999997</v>
      </c>
      <c r="K1034" s="4"/>
      <c r="L1034" s="9">
        <v>28.921800000000001</v>
      </c>
      <c r="M1034" s="9">
        <v>12.063700000000001</v>
      </c>
      <c r="N1034" s="9">
        <v>4.9444999999999997</v>
      </c>
      <c r="O1034" s="9">
        <v>0.37459999999999999</v>
      </c>
      <c r="P1034" s="9">
        <v>1.2192000000000001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54.1362 * CHOOSE(CONTROL!$C$15, $D$11, 100%, $F$11)</f>
        <v>54.136200000000002</v>
      </c>
      <c r="C1035" s="8">
        <f>54.1466 * CHOOSE(CONTROL!$C$15, $D$11, 100%, $F$11)</f>
        <v>54.146599999999999</v>
      </c>
      <c r="D1035" s="8">
        <f>54.1304 * CHOOSE( CONTROL!$C$15, $D$11, 100%, $F$11)</f>
        <v>54.130400000000002</v>
      </c>
      <c r="E1035" s="12">
        <f>54.1352 * CHOOSE( CONTROL!$C$15, $D$11, 100%, $F$11)</f>
        <v>54.135199999999998</v>
      </c>
      <c r="F1035" s="4">
        <f>55.1304 * CHOOSE(CONTROL!$C$15, $D$11, 100%, $F$11)</f>
        <v>55.130400000000002</v>
      </c>
      <c r="G1035" s="8">
        <f>52.7837 * CHOOSE( CONTROL!$C$15, $D$11, 100%, $F$11)</f>
        <v>52.783700000000003</v>
      </c>
      <c r="H1035" s="4">
        <f>53.6633 * CHOOSE(CONTROL!$C$15, $D$11, 100%, $F$11)</f>
        <v>53.6633</v>
      </c>
      <c r="I1035" s="8">
        <f>51.9972 * CHOOSE(CONTROL!$C$15, $D$11, 100%, $F$11)</f>
        <v>51.997199999999999</v>
      </c>
      <c r="J1035" s="4">
        <f>51.8686 * CHOOSE(CONTROL!$C$15, $D$11, 100%, $F$11)</f>
        <v>51.868600000000001</v>
      </c>
      <c r="K1035" s="4"/>
      <c r="L1035" s="9">
        <v>26.515499999999999</v>
      </c>
      <c r="M1035" s="9">
        <v>11.6745</v>
      </c>
      <c r="N1035" s="9">
        <v>4.7850000000000001</v>
      </c>
      <c r="O1035" s="9">
        <v>0.36249999999999999</v>
      </c>
      <c r="P1035" s="9">
        <v>1.2522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54.0378 * CHOOSE(CONTROL!$C$15, $D$11, 100%, $F$11)</f>
        <v>54.037799999999997</v>
      </c>
      <c r="C1036" s="8">
        <f>54.0482 * CHOOSE(CONTROL!$C$15, $D$11, 100%, $F$11)</f>
        <v>54.048200000000001</v>
      </c>
      <c r="D1036" s="8">
        <f>54.0342 * CHOOSE( CONTROL!$C$15, $D$11, 100%, $F$11)</f>
        <v>54.034199999999998</v>
      </c>
      <c r="E1036" s="12">
        <f>54.0382 * CHOOSE( CONTROL!$C$15, $D$11, 100%, $F$11)</f>
        <v>54.038200000000003</v>
      </c>
      <c r="F1036" s="4">
        <f>55.032 * CHOOSE(CONTROL!$C$15, $D$11, 100%, $F$11)</f>
        <v>55.031999999999996</v>
      </c>
      <c r="G1036" s="8">
        <f>52.6894 * CHOOSE( CONTROL!$C$15, $D$11, 100%, $F$11)</f>
        <v>52.689399999999999</v>
      </c>
      <c r="H1036" s="4">
        <f>53.5673 * CHOOSE(CONTROL!$C$15, $D$11, 100%, $F$11)</f>
        <v>53.567300000000003</v>
      </c>
      <c r="I1036" s="8">
        <f>51.9104 * CHOOSE(CONTROL!$C$15, $D$11, 100%, $F$11)</f>
        <v>51.910400000000003</v>
      </c>
      <c r="J1036" s="4">
        <f>51.7742 * CHOOSE(CONTROL!$C$15, $D$11, 100%, $F$11)</f>
        <v>51.7742</v>
      </c>
      <c r="K1036" s="4"/>
      <c r="L1036" s="9">
        <v>27.3993</v>
      </c>
      <c r="M1036" s="9">
        <v>12.063700000000001</v>
      </c>
      <c r="N1036" s="9">
        <v>4.9444999999999997</v>
      </c>
      <c r="O1036" s="9">
        <v>0.37459999999999999</v>
      </c>
      <c r="P1036" s="9">
        <v>1.2939000000000001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2.312783333333333</v>
      </c>
      <c r="C1038" s="8">
        <f t="shared" si="1"/>
        <v>2.3232083333333331</v>
      </c>
      <c r="D1038" s="8">
        <f t="shared" si="1"/>
        <v>2.318308333333333</v>
      </c>
      <c r="E1038" s="8">
        <f t="shared" si="1"/>
        <v>2.3188</v>
      </c>
      <c r="F1038" s="4">
        <f t="shared" si="1"/>
        <v>3.3321583333333336</v>
      </c>
      <c r="G1038" s="8">
        <f t="shared" si="1"/>
        <v>2.2601</v>
      </c>
      <c r="H1038" s="4">
        <f t="shared" si="1"/>
        <v>3.1718499999999996</v>
      </c>
      <c r="I1038" s="8"/>
      <c r="J1038" s="4">
        <f>AVERAGE(J17:J28)</f>
        <v>2.2113333333333336</v>
      </c>
      <c r="K1038" s="5"/>
      <c r="L1038" s="5">
        <f>SUM(L17:L28)</f>
        <v>376.69149999999996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5.3671999999999995</v>
      </c>
      <c r="P1038" s="5">
        <f>SUM(P17:P28)</f>
        <v>16.520199999999999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2.9127666666666663</v>
      </c>
      <c r="C1039" s="8">
        <f t="shared" si="2"/>
        <v>2.9232166666666664</v>
      </c>
      <c r="D1039" s="8">
        <f t="shared" si="2"/>
        <v>2.9149166666666666</v>
      </c>
      <c r="E1039" s="8">
        <f t="shared" si="2"/>
        <v>2.9165416666666673</v>
      </c>
      <c r="F1039" s="4">
        <f t="shared" si="2"/>
        <v>3.9321666666666673</v>
      </c>
      <c r="G1039" s="8">
        <f t="shared" si="2"/>
        <v>2.8447833333333334</v>
      </c>
      <c r="H1039" s="4">
        <f t="shared" si="2"/>
        <v>3.7567166666666671</v>
      </c>
      <c r="I1039" s="8">
        <f t="shared" si="2"/>
        <v>2.8621916666666665</v>
      </c>
      <c r="J1039" s="4">
        <f t="shared" si="2"/>
        <v>2.7862500000000003</v>
      </c>
      <c r="K1039" s="4"/>
      <c r="L1039" s="5">
        <f t="shared" ref="L1039:Q1039" si="3">SUM(L29:L40)</f>
        <v>353.74759999999998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4.4104999999999999</v>
      </c>
      <c r="P1039" s="5">
        <f t="shared" si="3"/>
        <v>20.8202</v>
      </c>
      <c r="Q1039" s="5">
        <f t="shared" si="3"/>
        <v>198.18529999999998</v>
      </c>
      <c r="R1039" s="5"/>
      <c r="S1039" s="4"/>
    </row>
    <row r="1040" spans="1:19" ht="15" customHeight="1">
      <c r="A1040" s="3">
        <v>2018</v>
      </c>
      <c r="B1040" s="8">
        <f t="shared" ref="B1040:J1040" si="4">AVERAGE(B41:B52)</f>
        <v>3.003225</v>
      </c>
      <c r="C1040" s="8">
        <f t="shared" si="4"/>
        <v>3.0136500000000002</v>
      </c>
      <c r="D1040" s="8">
        <f t="shared" si="4"/>
        <v>3.0164833333333334</v>
      </c>
      <c r="E1040" s="8">
        <f t="shared" si="4"/>
        <v>3.0141916666666666</v>
      </c>
      <c r="F1040" s="4">
        <f t="shared" si="4"/>
        <v>4.0225999999999997</v>
      </c>
      <c r="G1040" s="8">
        <f t="shared" si="4"/>
        <v>2.9329500000000004</v>
      </c>
      <c r="H1040" s="4">
        <f t="shared" si="4"/>
        <v>3.8448749999999996</v>
      </c>
      <c r="I1040" s="8">
        <f t="shared" si="4"/>
        <v>2.9488833333333333</v>
      </c>
      <c r="J1040" s="4">
        <f t="shared" si="4"/>
        <v>2.8729166666666668</v>
      </c>
      <c r="K1040" s="4"/>
      <c r="L1040" s="5">
        <f t="shared" ref="L1040:Q1040" si="5">SUM(L41:L52)</f>
        <v>353.74759999999998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4.4104999999999999</v>
      </c>
      <c r="P1040" s="5">
        <f t="shared" si="5"/>
        <v>14.718800000000003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3.7359166666666663</v>
      </c>
      <c r="C1041" s="8">
        <f t="shared" si="6"/>
        <v>3.746350000000001</v>
      </c>
      <c r="D1041" s="8">
        <f t="shared" si="6"/>
        <v>3.7491916666666669</v>
      </c>
      <c r="E1041" s="8">
        <f t="shared" si="6"/>
        <v>3.7468833333333333</v>
      </c>
      <c r="F1041" s="4">
        <f t="shared" si="6"/>
        <v>4.7552916666666665</v>
      </c>
      <c r="G1041" s="8">
        <f t="shared" si="6"/>
        <v>3.6471499999999999</v>
      </c>
      <c r="H1041" s="4">
        <f t="shared" si="6"/>
        <v>4.5590916666666672</v>
      </c>
      <c r="I1041" s="8">
        <f t="shared" si="6"/>
        <v>3.6513083333333327</v>
      </c>
      <c r="J1041" s="4">
        <f t="shared" si="6"/>
        <v>3.5750083333333333</v>
      </c>
      <c r="K1041" s="4"/>
      <c r="L1041" s="5">
        <f t="shared" ref="L1041:Q1041" si="7">SUM(L53:L64)</f>
        <v>353.74759999999998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4.4104999999999999</v>
      </c>
      <c r="P1041" s="5">
        <f t="shared" si="7"/>
        <v>14.718800000000003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3.7485666666666666</v>
      </c>
      <c r="C1042" s="8">
        <f t="shared" si="8"/>
        <v>3.7590000000000003</v>
      </c>
      <c r="D1042" s="8">
        <f t="shared" si="8"/>
        <v>3.761825</v>
      </c>
      <c r="E1042" s="8">
        <f t="shared" si="8"/>
        <v>3.7595416666666672</v>
      </c>
      <c r="F1042" s="4">
        <f t="shared" si="8"/>
        <v>4.7679583333333335</v>
      </c>
      <c r="G1042" s="8">
        <f t="shared" si="8"/>
        <v>3.659475</v>
      </c>
      <c r="H1042" s="4">
        <f t="shared" si="8"/>
        <v>4.5714166666666669</v>
      </c>
      <c r="I1042" s="8">
        <f t="shared" si="8"/>
        <v>3.6634250000000002</v>
      </c>
      <c r="J1042" s="4">
        <f t="shared" si="8"/>
        <v>3.5871166666666667</v>
      </c>
      <c r="K1042" s="4"/>
      <c r="L1042" s="5">
        <f t="shared" ref="L1042:Q1042" si="9">SUM(L65:L76)</f>
        <v>354.68099999999998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4.4226000000000001</v>
      </c>
      <c r="P1042" s="5">
        <f t="shared" si="9"/>
        <v>14.760600000000004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4.2308416666666675</v>
      </c>
      <c r="C1043" s="8">
        <f t="shared" si="10"/>
        <v>4.2412999999999998</v>
      </c>
      <c r="D1043" s="8">
        <f t="shared" si="10"/>
        <v>4.2441249999999995</v>
      </c>
      <c r="E1043" s="8">
        <f t="shared" si="10"/>
        <v>4.2418249999999995</v>
      </c>
      <c r="F1043" s="4">
        <f t="shared" si="10"/>
        <v>5.2502416666666667</v>
      </c>
      <c r="G1043" s="8">
        <f t="shared" si="10"/>
        <v>4.1295999999999999</v>
      </c>
      <c r="H1043" s="4">
        <f t="shared" si="10"/>
        <v>5.0415416666666664</v>
      </c>
      <c r="I1043" s="8">
        <f t="shared" si="10"/>
        <v>4.1257916666666672</v>
      </c>
      <c r="J1043" s="4">
        <f t="shared" si="10"/>
        <v>4.0492500000000007</v>
      </c>
      <c r="K1043" s="4"/>
      <c r="L1043" s="5">
        <f t="shared" ref="L1043:Q1043" si="11">SUM(L77:L88)</f>
        <v>353.74759999999998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4.4104999999999999</v>
      </c>
      <c r="P1043" s="5">
        <f t="shared" si="11"/>
        <v>14.718800000000003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4.1956583333333333</v>
      </c>
      <c r="C1044" s="8">
        <f t="shared" si="12"/>
        <v>4.2061000000000002</v>
      </c>
      <c r="D1044" s="8">
        <f t="shared" si="12"/>
        <v>4.2089083333333326</v>
      </c>
      <c r="E1044" s="8">
        <f t="shared" si="12"/>
        <v>4.2066333333333334</v>
      </c>
      <c r="F1044" s="4">
        <f t="shared" si="12"/>
        <v>5.2150500000000006</v>
      </c>
      <c r="G1044" s="8">
        <f t="shared" si="12"/>
        <v>4.0952916666666672</v>
      </c>
      <c r="H1044" s="4">
        <f t="shared" si="12"/>
        <v>5.0072333333333336</v>
      </c>
      <c r="I1044" s="8">
        <f t="shared" si="12"/>
        <v>4.0920583333333331</v>
      </c>
      <c r="J1044" s="4">
        <f t="shared" si="12"/>
        <v>4.0155166666666666</v>
      </c>
      <c r="K1044" s="4"/>
      <c r="L1044" s="5">
        <f t="shared" ref="L1044:Q1044" si="13">SUM(L89:L100)</f>
        <v>346.2867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4.4104999999999999</v>
      </c>
      <c r="P1044" s="5">
        <f t="shared" si="13"/>
        <v>14.718800000000003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4.5235583333333338</v>
      </c>
      <c r="C1045" s="8">
        <f t="shared" si="14"/>
        <v>4.5339916666666671</v>
      </c>
      <c r="D1045" s="8">
        <f t="shared" si="14"/>
        <v>4.5368166666666667</v>
      </c>
      <c r="E1045" s="8">
        <f t="shared" si="14"/>
        <v>4.5345333333333331</v>
      </c>
      <c r="F1045" s="4">
        <f t="shared" si="14"/>
        <v>5.5429416666666675</v>
      </c>
      <c r="G1045" s="8">
        <f t="shared" si="14"/>
        <v>4.4149250000000002</v>
      </c>
      <c r="H1045" s="4">
        <f t="shared" si="14"/>
        <v>5.326858333333333</v>
      </c>
      <c r="I1045" s="8">
        <f t="shared" si="14"/>
        <v>4.4063999999999988</v>
      </c>
      <c r="J1045" s="4">
        <f t="shared" si="14"/>
        <v>4.3297166666666662</v>
      </c>
      <c r="K1045" s="4"/>
      <c r="L1045" s="5">
        <f t="shared" ref="L1045:Q1045" si="15">SUM(L101:L112)</f>
        <v>336.06969999999995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4.4104999999999999</v>
      </c>
      <c r="P1045" s="5">
        <f t="shared" si="15"/>
        <v>14.718800000000003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4.8006416666666665</v>
      </c>
      <c r="C1046" s="8">
        <f t="shared" si="16"/>
        <v>4.8110749999999998</v>
      </c>
      <c r="D1046" s="8">
        <f t="shared" si="16"/>
        <v>4.8139083333333339</v>
      </c>
      <c r="E1046" s="8">
        <f t="shared" si="16"/>
        <v>4.8116083333333322</v>
      </c>
      <c r="F1046" s="4">
        <f t="shared" si="16"/>
        <v>5.8200333333333321</v>
      </c>
      <c r="G1046" s="8">
        <f t="shared" si="16"/>
        <v>4.6850166666666668</v>
      </c>
      <c r="H1046" s="4">
        <f t="shared" si="16"/>
        <v>5.5969583333333333</v>
      </c>
      <c r="I1046" s="8">
        <f t="shared" si="16"/>
        <v>4.6720416666666669</v>
      </c>
      <c r="J1046" s="4">
        <f t="shared" si="16"/>
        <v>4.5952249999999992</v>
      </c>
      <c r="K1046" s="4"/>
      <c r="L1046" s="5">
        <f t="shared" ref="L1046:Q1046" si="17">SUM(L113:L124)</f>
        <v>336.95349999999996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4.4226000000000001</v>
      </c>
      <c r="P1046" s="5">
        <f t="shared" si="17"/>
        <v>14.760600000000004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5.023508333333333</v>
      </c>
      <c r="C1047" s="8">
        <f t="shared" si="18"/>
        <v>5.0339499999999999</v>
      </c>
      <c r="D1047" s="8">
        <f t="shared" si="18"/>
        <v>5.0367666666666659</v>
      </c>
      <c r="E1047" s="8">
        <f t="shared" si="18"/>
        <v>5.0344749999999996</v>
      </c>
      <c r="F1047" s="4">
        <f t="shared" si="18"/>
        <v>6.0428916666666668</v>
      </c>
      <c r="G1047" s="8">
        <f t="shared" si="18"/>
        <v>4.9022749999999995</v>
      </c>
      <c r="H1047" s="4">
        <f t="shared" si="18"/>
        <v>5.8141999999999996</v>
      </c>
      <c r="I1047" s="8">
        <f t="shared" si="18"/>
        <v>4.8857000000000008</v>
      </c>
      <c r="J1047" s="4">
        <f t="shared" si="18"/>
        <v>4.8087749999999998</v>
      </c>
      <c r="K1047" s="4"/>
      <c r="L1047" s="5">
        <f t="shared" ref="L1047:Q1047" si="19">SUM(L125:L136)</f>
        <v>336.06969999999995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4.4104999999999999</v>
      </c>
      <c r="P1047" s="5">
        <f t="shared" si="19"/>
        <v>14.718800000000003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5.1886166666666673</v>
      </c>
      <c r="C1048" s="8">
        <f t="shared" si="20"/>
        <v>5.199041666666667</v>
      </c>
      <c r="D1048" s="8">
        <f t="shared" si="20"/>
        <v>5.2018666666666666</v>
      </c>
      <c r="E1048" s="8">
        <f t="shared" si="20"/>
        <v>5.1995750000000003</v>
      </c>
      <c r="F1048" s="4">
        <f t="shared" si="20"/>
        <v>6.2079916666666657</v>
      </c>
      <c r="G1048" s="8">
        <f t="shared" si="20"/>
        <v>5.063200000000001</v>
      </c>
      <c r="H1048" s="4">
        <f t="shared" si="20"/>
        <v>5.975133333333333</v>
      </c>
      <c r="I1048" s="8">
        <f t="shared" si="20"/>
        <v>5.043966666666666</v>
      </c>
      <c r="J1048" s="4">
        <f t="shared" si="20"/>
        <v>4.966966666666667</v>
      </c>
      <c r="K1048" s="4"/>
      <c r="L1048" s="5">
        <f t="shared" ref="L1048:Q1048" si="21">SUM(L137:L148)</f>
        <v>336.06969999999995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4.4104999999999999</v>
      </c>
      <c r="P1048" s="5">
        <f t="shared" si="21"/>
        <v>14.718800000000003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5.3583083333333335</v>
      </c>
      <c r="C1049" s="8">
        <f t="shared" si="22"/>
        <v>5.368733333333334</v>
      </c>
      <c r="D1049" s="8">
        <f t="shared" si="22"/>
        <v>5.3715583333333328</v>
      </c>
      <c r="E1049" s="8">
        <f t="shared" si="22"/>
        <v>5.3692666666666655</v>
      </c>
      <c r="F1049" s="4">
        <f t="shared" si="22"/>
        <v>6.3776916666666672</v>
      </c>
      <c r="G1049" s="8">
        <f t="shared" si="22"/>
        <v>5.2286083333333329</v>
      </c>
      <c r="H1049" s="4">
        <f t="shared" si="22"/>
        <v>6.1405416666666683</v>
      </c>
      <c r="I1049" s="8">
        <f t="shared" si="22"/>
        <v>5.2066500000000007</v>
      </c>
      <c r="J1049" s="4">
        <f t="shared" si="22"/>
        <v>5.1295583333333328</v>
      </c>
      <c r="K1049" s="4"/>
      <c r="L1049" s="5">
        <f t="shared" ref="L1049:Q1049" si="23">SUM(L149:L160)</f>
        <v>336.06969999999995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4.4104999999999999</v>
      </c>
      <c r="P1049" s="5">
        <f t="shared" si="23"/>
        <v>14.718800000000003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5.5327083333333329</v>
      </c>
      <c r="C1050" s="8">
        <f t="shared" si="24"/>
        <v>5.5431499999999998</v>
      </c>
      <c r="D1050" s="8">
        <f t="shared" si="24"/>
        <v>5.5459666666666676</v>
      </c>
      <c r="E1050" s="8">
        <f t="shared" si="24"/>
        <v>5.5436750000000004</v>
      </c>
      <c r="F1050" s="4">
        <f t="shared" si="24"/>
        <v>6.5520916666666666</v>
      </c>
      <c r="G1050" s="8">
        <f t="shared" si="24"/>
        <v>5.3986166666666664</v>
      </c>
      <c r="H1050" s="4">
        <f t="shared" si="24"/>
        <v>6.3105583333333328</v>
      </c>
      <c r="I1050" s="8">
        <f t="shared" si="24"/>
        <v>5.3738416666666664</v>
      </c>
      <c r="J1050" s="4">
        <f t="shared" si="24"/>
        <v>5.2966666666666677</v>
      </c>
      <c r="K1050" s="4"/>
      <c r="L1050" s="5">
        <f t="shared" ref="L1050:Q1050" si="25">SUM(L161:L172)</f>
        <v>336.95349999999996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4.4226000000000001</v>
      </c>
      <c r="P1050" s="5">
        <f t="shared" si="25"/>
        <v>14.760600000000004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5.6432250000000002</v>
      </c>
      <c r="C1051" s="8">
        <f t="shared" si="26"/>
        <v>5.6536499999999998</v>
      </c>
      <c r="D1051" s="8">
        <f t="shared" si="26"/>
        <v>5.6564916666666667</v>
      </c>
      <c r="E1051" s="8">
        <f t="shared" si="26"/>
        <v>5.6541999999999994</v>
      </c>
      <c r="F1051" s="4">
        <f t="shared" si="26"/>
        <v>6.6625916666666667</v>
      </c>
      <c r="G1051" s="8">
        <f t="shared" si="26"/>
        <v>5.5063416666666676</v>
      </c>
      <c r="H1051" s="4">
        <f t="shared" si="26"/>
        <v>6.4182583333333332</v>
      </c>
      <c r="I1051" s="8">
        <f t="shared" si="26"/>
        <v>5.4797916666666664</v>
      </c>
      <c r="J1051" s="4">
        <f t="shared" si="26"/>
        <v>5.4025833333333324</v>
      </c>
      <c r="K1051" s="4"/>
      <c r="L1051" s="5">
        <f t="shared" ref="L1051:Q1051" si="27">SUM(L173:L184)</f>
        <v>336.06969999999995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4.4104999999999999</v>
      </c>
      <c r="P1051" s="5">
        <f t="shared" si="27"/>
        <v>14.718800000000003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5.755933333333334</v>
      </c>
      <c r="C1052" s="8">
        <f t="shared" si="28"/>
        <v>5.7663666666666664</v>
      </c>
      <c r="D1052" s="8">
        <f t="shared" si="28"/>
        <v>5.7692083333333324</v>
      </c>
      <c r="E1052" s="8">
        <f t="shared" si="28"/>
        <v>5.7669083333333333</v>
      </c>
      <c r="F1052" s="4">
        <f t="shared" si="28"/>
        <v>6.7753333333333323</v>
      </c>
      <c r="G1052" s="8">
        <f t="shared" si="28"/>
        <v>5.6162166666666673</v>
      </c>
      <c r="H1052" s="4">
        <f t="shared" si="28"/>
        <v>6.5281416666666665</v>
      </c>
      <c r="I1052" s="8">
        <f t="shared" si="28"/>
        <v>5.5878499999999995</v>
      </c>
      <c r="J1052" s="4">
        <f t="shared" si="28"/>
        <v>5.5105749999999993</v>
      </c>
      <c r="K1052" s="4"/>
      <c r="L1052" s="5">
        <f t="shared" ref="L1052:Q1052" si="29">SUM(L185:L196)</f>
        <v>336.06969999999995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4.4104999999999999</v>
      </c>
      <c r="P1052" s="5">
        <f t="shared" si="29"/>
        <v>14.718800000000003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5.8709249999999997</v>
      </c>
      <c r="C1053" s="8">
        <f t="shared" si="30"/>
        <v>5.8813416666666667</v>
      </c>
      <c r="D1053" s="8">
        <f t="shared" si="30"/>
        <v>5.8841750000000017</v>
      </c>
      <c r="E1053" s="8">
        <f t="shared" si="30"/>
        <v>5.8818833333333336</v>
      </c>
      <c r="F1053" s="4">
        <f t="shared" si="30"/>
        <v>6.8903083333333335</v>
      </c>
      <c r="G1053" s="8">
        <f t="shared" si="30"/>
        <v>5.7283000000000008</v>
      </c>
      <c r="H1053" s="4">
        <f t="shared" si="30"/>
        <v>6.6402333333333319</v>
      </c>
      <c r="I1053" s="8">
        <f t="shared" si="30"/>
        <v>5.6980749999999993</v>
      </c>
      <c r="J1053" s="4">
        <f t="shared" si="30"/>
        <v>5.6207500000000001</v>
      </c>
      <c r="K1053" s="4"/>
      <c r="L1053" s="5">
        <f t="shared" ref="L1053:Q1053" si="31">SUM(L197:L208)</f>
        <v>336.06969999999995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4.4104999999999999</v>
      </c>
      <c r="P1053" s="5">
        <f t="shared" si="31"/>
        <v>14.718800000000003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5.9881916666666655</v>
      </c>
      <c r="C1054" s="8">
        <f t="shared" si="32"/>
        <v>5.998616666666666</v>
      </c>
      <c r="D1054" s="8">
        <f t="shared" si="32"/>
        <v>6.0014583333333347</v>
      </c>
      <c r="E1054" s="8">
        <f t="shared" si="32"/>
        <v>5.9991666666666665</v>
      </c>
      <c r="F1054" s="4">
        <f t="shared" si="32"/>
        <v>7.0075750000000001</v>
      </c>
      <c r="G1054" s="8">
        <f t="shared" si="32"/>
        <v>5.8426166666666672</v>
      </c>
      <c r="H1054" s="4">
        <f t="shared" si="32"/>
        <v>6.7545416666666656</v>
      </c>
      <c r="I1054" s="8">
        <f t="shared" si="32"/>
        <v>5.8105083333333338</v>
      </c>
      <c r="J1054" s="4">
        <f t="shared" si="32"/>
        <v>5.7331166666666675</v>
      </c>
      <c r="K1054" s="4"/>
      <c r="L1054" s="5">
        <f t="shared" ref="L1054:Q1054" si="33">SUM(L209:L220)</f>
        <v>336.95349999999996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4.4226000000000001</v>
      </c>
      <c r="P1054" s="5">
        <f t="shared" si="33"/>
        <v>14.760600000000004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6.1078166666666673</v>
      </c>
      <c r="C1055" s="8">
        <f t="shared" si="34"/>
        <v>6.1182416666666661</v>
      </c>
      <c r="D1055" s="8">
        <f t="shared" si="34"/>
        <v>6.1210583333333339</v>
      </c>
      <c r="E1055" s="8">
        <f t="shared" si="34"/>
        <v>6.1187666666666667</v>
      </c>
      <c r="F1055" s="4">
        <f t="shared" si="34"/>
        <v>7.1271916666666657</v>
      </c>
      <c r="G1055" s="8">
        <f t="shared" si="34"/>
        <v>5.9592166666666673</v>
      </c>
      <c r="H1055" s="4">
        <f t="shared" si="34"/>
        <v>6.8711416666666674</v>
      </c>
      <c r="I1055" s="8">
        <f t="shared" si="34"/>
        <v>5.9251916666666675</v>
      </c>
      <c r="J1055" s="4">
        <f t="shared" si="34"/>
        <v>5.8477500000000004</v>
      </c>
      <c r="K1055" s="4"/>
      <c r="L1055" s="5">
        <f t="shared" ref="L1055:Q1055" si="35">SUM(L221:L232)</f>
        <v>336.06969999999995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4.4104999999999999</v>
      </c>
      <c r="P1055" s="5">
        <f t="shared" si="35"/>
        <v>14.718800000000003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6.2298166666666672</v>
      </c>
      <c r="C1056" s="8">
        <f t="shared" si="36"/>
        <v>6.2402666666666669</v>
      </c>
      <c r="D1056" s="8">
        <f t="shared" si="36"/>
        <v>6.243100000000001</v>
      </c>
      <c r="E1056" s="8">
        <f t="shared" si="36"/>
        <v>6.240800000000001</v>
      </c>
      <c r="F1056" s="4">
        <f t="shared" si="36"/>
        <v>7.2492083333333346</v>
      </c>
      <c r="G1056" s="8">
        <f t="shared" si="36"/>
        <v>6.0781500000000008</v>
      </c>
      <c r="H1056" s="4">
        <f t="shared" si="36"/>
        <v>6.9900916666666681</v>
      </c>
      <c r="I1056" s="8">
        <f t="shared" si="36"/>
        <v>6.0421666666666667</v>
      </c>
      <c r="J1056" s="4">
        <f t="shared" si="36"/>
        <v>5.9646583333333334</v>
      </c>
      <c r="K1056" s="4"/>
      <c r="L1056" s="5">
        <f t="shared" ref="L1056:Q1056" si="37">SUM(L233:L244)</f>
        <v>336.06969999999995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4.4104999999999999</v>
      </c>
      <c r="P1056" s="5">
        <f t="shared" si="37"/>
        <v>14.718800000000003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6.3542750000000003</v>
      </c>
      <c r="C1057" s="8">
        <f t="shared" si="38"/>
        <v>6.3647166666666672</v>
      </c>
      <c r="D1057" s="8">
        <f t="shared" si="38"/>
        <v>6.3675500000000005</v>
      </c>
      <c r="E1057" s="8">
        <f t="shared" si="38"/>
        <v>6.3652666666666669</v>
      </c>
      <c r="F1057" s="4">
        <f t="shared" si="38"/>
        <v>7.3736666666666659</v>
      </c>
      <c r="G1057" s="8">
        <f t="shared" si="38"/>
        <v>6.1994666666666669</v>
      </c>
      <c r="H1057" s="4">
        <f t="shared" si="38"/>
        <v>7.1113833333333334</v>
      </c>
      <c r="I1057" s="8">
        <f t="shared" si="38"/>
        <v>6.1614749999999994</v>
      </c>
      <c r="J1057" s="4">
        <f t="shared" si="38"/>
        <v>6.0838999999999999</v>
      </c>
      <c r="K1057" s="4"/>
      <c r="L1057" s="5">
        <f t="shared" ref="L1057:Q1057" si="39">SUM(L245:L256)</f>
        <v>336.06969999999995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4.4104999999999999</v>
      </c>
      <c r="P1057" s="5">
        <f t="shared" si="39"/>
        <v>14.718800000000003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6.5618583333333333</v>
      </c>
      <c r="C1058" s="8">
        <f t="shared" si="40"/>
        <v>6.5722916666666658</v>
      </c>
      <c r="D1058" s="8">
        <f t="shared" si="40"/>
        <v>6.5751249999999999</v>
      </c>
      <c r="E1058" s="8">
        <f t="shared" si="40"/>
        <v>6.5728333333333344</v>
      </c>
      <c r="F1058" s="4">
        <f t="shared" si="40"/>
        <v>7.5812249999999999</v>
      </c>
      <c r="G1058" s="8">
        <f t="shared" si="40"/>
        <v>6.4018000000000006</v>
      </c>
      <c r="H1058" s="4">
        <f t="shared" si="40"/>
        <v>7.3137416666666661</v>
      </c>
      <c r="I1058" s="8">
        <f t="shared" si="40"/>
        <v>6.3604666666666674</v>
      </c>
      <c r="J1058" s="4">
        <f t="shared" si="40"/>
        <v>6.2827999999999991</v>
      </c>
      <c r="K1058" s="4"/>
      <c r="L1058" s="5">
        <f t="shared" ref="L1058:Q1058" si="41">SUM(L257:L268)</f>
        <v>336.95349999999996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4.4226000000000001</v>
      </c>
      <c r="P1058" s="5">
        <f t="shared" si="41"/>
        <v>14.760600000000004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6.7762083333333329</v>
      </c>
      <c r="C1059" s="8">
        <f t="shared" si="42"/>
        <v>6.7866500000000007</v>
      </c>
      <c r="D1059" s="8">
        <f t="shared" si="42"/>
        <v>6.7894750000000021</v>
      </c>
      <c r="E1059" s="8">
        <f t="shared" si="42"/>
        <v>6.7871749999999986</v>
      </c>
      <c r="F1059" s="4">
        <f t="shared" si="42"/>
        <v>7.7956250000000002</v>
      </c>
      <c r="G1059" s="8">
        <f t="shared" si="42"/>
        <v>6.6107416666666667</v>
      </c>
      <c r="H1059" s="4">
        <f t="shared" si="42"/>
        <v>7.5226833333333332</v>
      </c>
      <c r="I1059" s="8">
        <f t="shared" si="42"/>
        <v>6.5659833333333326</v>
      </c>
      <c r="J1059" s="4">
        <f t="shared" si="42"/>
        <v>6.4882333333333335</v>
      </c>
      <c r="K1059" s="4"/>
      <c r="L1059" s="5">
        <f t="shared" ref="L1059:Q1059" si="43">SUM(L269:L280)</f>
        <v>336.06969999999995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4.4104999999999999</v>
      </c>
      <c r="P1059" s="5">
        <f t="shared" si="43"/>
        <v>14.718800000000003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6.9975833333333339</v>
      </c>
      <c r="C1060" s="8">
        <f t="shared" si="45"/>
        <v>7.0080249999999999</v>
      </c>
      <c r="D1060" s="8">
        <f t="shared" si="45"/>
        <v>7.0108499999999987</v>
      </c>
      <c r="E1060" s="8">
        <f t="shared" si="45"/>
        <v>7.0085500000000005</v>
      </c>
      <c r="F1060" s="4">
        <f t="shared" si="45"/>
        <v>8.0169666666666668</v>
      </c>
      <c r="G1060" s="8">
        <f t="shared" si="45"/>
        <v>6.8265333333333338</v>
      </c>
      <c r="H1060" s="4">
        <f t="shared" si="45"/>
        <v>7.7384666666666666</v>
      </c>
      <c r="I1060" s="8">
        <f t="shared" si="45"/>
        <v>6.7782083333333345</v>
      </c>
      <c r="J1060" s="4">
        <f t="shared" si="45"/>
        <v>6.700333333333333</v>
      </c>
      <c r="K1060" s="4"/>
      <c r="L1060" s="5">
        <f t="shared" ref="L1060:Q1060" si="46">SUM(L281:L292)</f>
        <v>336.06969999999995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4.4104999999999999</v>
      </c>
      <c r="P1060" s="5">
        <f t="shared" si="46"/>
        <v>14.718800000000003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7.2262000000000013</v>
      </c>
      <c r="C1061" s="8">
        <f t="shared" si="47"/>
        <v>7.2366416666666664</v>
      </c>
      <c r="D1061" s="8">
        <f t="shared" si="47"/>
        <v>7.2394583333333351</v>
      </c>
      <c r="E1061" s="8">
        <f t="shared" si="47"/>
        <v>7.2371583333333334</v>
      </c>
      <c r="F1061" s="4">
        <f t="shared" si="47"/>
        <v>8.2456000000000014</v>
      </c>
      <c r="G1061" s="8">
        <f t="shared" si="47"/>
        <v>7.0493833333333322</v>
      </c>
      <c r="H1061" s="4">
        <f t="shared" si="47"/>
        <v>7.9613166666666677</v>
      </c>
      <c r="I1061" s="8">
        <f t="shared" si="47"/>
        <v>6.9973583333333336</v>
      </c>
      <c r="J1061" s="4">
        <f t="shared" si="47"/>
        <v>6.9193833333333332</v>
      </c>
      <c r="K1061" s="7"/>
      <c r="L1061" s="5">
        <f t="shared" ref="L1061:Q1061" si="48">SUM(L293:L304)</f>
        <v>336.06969999999995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4.4104999999999999</v>
      </c>
      <c r="P1061" s="5">
        <f t="shared" si="48"/>
        <v>14.718800000000003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7.4622916666666663</v>
      </c>
      <c r="C1062" s="8">
        <f t="shared" si="49"/>
        <v>7.4727249999999996</v>
      </c>
      <c r="D1062" s="8">
        <f t="shared" si="49"/>
        <v>7.4755583333333329</v>
      </c>
      <c r="E1062" s="8">
        <f t="shared" si="49"/>
        <v>7.473275000000001</v>
      </c>
      <c r="F1062" s="4">
        <f t="shared" si="49"/>
        <v>8.4816749999999992</v>
      </c>
      <c r="G1062" s="8">
        <f t="shared" si="49"/>
        <v>7.279508333333335</v>
      </c>
      <c r="H1062" s="4">
        <f t="shared" si="49"/>
        <v>8.1914499999999997</v>
      </c>
      <c r="I1062" s="8">
        <f t="shared" si="49"/>
        <v>7.2236750000000001</v>
      </c>
      <c r="J1062" s="4">
        <f t="shared" si="49"/>
        <v>7.145624999999999</v>
      </c>
      <c r="K1062" s="7"/>
      <c r="L1062" s="5">
        <f t="shared" ref="L1062:Q1062" si="50">SUM(L305:L316)</f>
        <v>336.95349999999996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4.4226000000000001</v>
      </c>
      <c r="P1062" s="5">
        <f t="shared" si="50"/>
        <v>14.760600000000004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7.7061083333333329</v>
      </c>
      <c r="C1063" s="8">
        <f t="shared" si="51"/>
        <v>7.716541666666668</v>
      </c>
      <c r="D1063" s="8">
        <f t="shared" si="51"/>
        <v>7.7193750000000003</v>
      </c>
      <c r="E1063" s="8">
        <f t="shared" si="51"/>
        <v>7.717083333333334</v>
      </c>
      <c r="F1063" s="4">
        <f t="shared" si="51"/>
        <v>8.7254833333333313</v>
      </c>
      <c r="G1063" s="8">
        <f t="shared" si="51"/>
        <v>7.5171666666666672</v>
      </c>
      <c r="H1063" s="4">
        <f t="shared" si="51"/>
        <v>8.4291083333333336</v>
      </c>
      <c r="I1063" s="8">
        <f t="shared" si="51"/>
        <v>7.4574333333333342</v>
      </c>
      <c r="J1063" s="4">
        <f t="shared" si="51"/>
        <v>7.3792333333333344</v>
      </c>
      <c r="K1063" s="7"/>
      <c r="L1063" s="5">
        <f t="shared" ref="L1063:Q1063" si="52">SUM(L317:L328)</f>
        <v>336.06969999999995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4.4104999999999999</v>
      </c>
      <c r="P1063" s="5">
        <f t="shared" si="52"/>
        <v>14.718800000000003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7.9578833333333341</v>
      </c>
      <c r="C1064" s="8">
        <f t="shared" si="53"/>
        <v>7.9683166666666665</v>
      </c>
      <c r="D1064" s="8">
        <f t="shared" si="53"/>
        <v>7.9711583333333342</v>
      </c>
      <c r="E1064" s="8">
        <f t="shared" si="53"/>
        <v>7.968866666666667</v>
      </c>
      <c r="F1064" s="4">
        <f t="shared" si="53"/>
        <v>8.9772750000000006</v>
      </c>
      <c r="G1064" s="8">
        <f t="shared" si="53"/>
        <v>7.7626083333333327</v>
      </c>
      <c r="H1064" s="4">
        <f t="shared" si="53"/>
        <v>8.6745416666666664</v>
      </c>
      <c r="I1064" s="8">
        <f t="shared" si="53"/>
        <v>7.6988166666666658</v>
      </c>
      <c r="J1064" s="4">
        <f t="shared" si="53"/>
        <v>7.6204916666666689</v>
      </c>
      <c r="K1064" s="7"/>
      <c r="L1064" s="5">
        <f t="shared" ref="L1064:Q1064" si="54">SUM(L329:L340)</f>
        <v>336.06969999999995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4.4104999999999999</v>
      </c>
      <c r="P1064" s="5">
        <f t="shared" si="54"/>
        <v>14.718800000000003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8.2179000000000002</v>
      </c>
      <c r="C1065" s="8">
        <f t="shared" si="55"/>
        <v>8.2283333333333335</v>
      </c>
      <c r="D1065" s="8">
        <f t="shared" si="55"/>
        <v>8.2311750000000021</v>
      </c>
      <c r="E1065" s="8">
        <f t="shared" si="55"/>
        <v>8.228883333333334</v>
      </c>
      <c r="F1065" s="4">
        <f t="shared" si="55"/>
        <v>9.2372999999999994</v>
      </c>
      <c r="G1065" s="8">
        <f t="shared" si="55"/>
        <v>8.016074999999999</v>
      </c>
      <c r="H1065" s="4">
        <f t="shared" si="55"/>
        <v>8.9280166666666663</v>
      </c>
      <c r="I1065" s="8">
        <f t="shared" si="55"/>
        <v>7.9480833333333329</v>
      </c>
      <c r="J1065" s="4">
        <f t="shared" si="55"/>
        <v>7.8696416666666664</v>
      </c>
      <c r="K1065" s="7"/>
      <c r="L1065" s="5">
        <f t="shared" ref="L1065:Q1065" si="56">SUM(L341:L352)</f>
        <v>336.06969999999995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4.4104999999999999</v>
      </c>
      <c r="P1065" s="5">
        <f t="shared" si="56"/>
        <v>14.718800000000003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8.4864250000000006</v>
      </c>
      <c r="C1066" s="8">
        <f t="shared" si="57"/>
        <v>8.4968583333333338</v>
      </c>
      <c r="D1066" s="8">
        <f t="shared" si="57"/>
        <v>8.4996916666666671</v>
      </c>
      <c r="E1066" s="8">
        <f t="shared" si="57"/>
        <v>8.4974083333333343</v>
      </c>
      <c r="F1066" s="4">
        <f t="shared" si="57"/>
        <v>9.5058000000000025</v>
      </c>
      <c r="G1066" s="8">
        <f t="shared" si="57"/>
        <v>8.2778083333333345</v>
      </c>
      <c r="H1066" s="4">
        <f t="shared" si="57"/>
        <v>9.1897500000000019</v>
      </c>
      <c r="I1066" s="8">
        <f t="shared" si="57"/>
        <v>8.2055249999999997</v>
      </c>
      <c r="J1066" s="4">
        <f t="shared" si="57"/>
        <v>8.126925</v>
      </c>
      <c r="K1066" s="7"/>
      <c r="L1066" s="5">
        <f t="shared" ref="L1066:Q1066" si="58">SUM(L353:L364)</f>
        <v>336.95349999999996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4.4226000000000001</v>
      </c>
      <c r="P1066" s="5">
        <f t="shared" si="58"/>
        <v>14.760600000000004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8.7637333333333327</v>
      </c>
      <c r="C1067" s="8">
        <f t="shared" si="59"/>
        <v>8.7741666666666678</v>
      </c>
      <c r="D1067" s="8">
        <f t="shared" si="59"/>
        <v>8.7769833333333338</v>
      </c>
      <c r="E1067" s="8">
        <f t="shared" si="59"/>
        <v>8.7747083333333347</v>
      </c>
      <c r="F1067" s="4">
        <f t="shared" si="59"/>
        <v>9.7831166666666665</v>
      </c>
      <c r="G1067" s="8">
        <f t="shared" si="59"/>
        <v>8.5481083333333334</v>
      </c>
      <c r="H1067" s="4">
        <f t="shared" si="59"/>
        <v>9.4600583333333343</v>
      </c>
      <c r="I1067" s="8">
        <f t="shared" si="59"/>
        <v>8.4713583333333347</v>
      </c>
      <c r="J1067" s="4">
        <f t="shared" si="59"/>
        <v>8.3926583333333316</v>
      </c>
      <c r="K1067" s="7"/>
      <c r="L1067" s="5">
        <f t="shared" ref="L1067:Q1067" si="60">SUM(L365:L376)</f>
        <v>336.06969999999995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4.4104999999999999</v>
      </c>
      <c r="P1067" s="5">
        <f t="shared" si="60"/>
        <v>14.718800000000003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9.0501083333333341</v>
      </c>
      <c r="C1068" s="8">
        <f t="shared" si="61"/>
        <v>9.0605333333333338</v>
      </c>
      <c r="D1068" s="8">
        <f t="shared" si="61"/>
        <v>9.0633499999999998</v>
      </c>
      <c r="E1068" s="8">
        <f t="shared" si="61"/>
        <v>9.0610583333333334</v>
      </c>
      <c r="F1068" s="4">
        <f t="shared" si="61"/>
        <v>10.069491666666666</v>
      </c>
      <c r="G1068" s="8">
        <f t="shared" si="61"/>
        <v>8.8272749999999984</v>
      </c>
      <c r="H1068" s="4">
        <f t="shared" si="61"/>
        <v>9.7391999999999985</v>
      </c>
      <c r="I1068" s="8">
        <f t="shared" si="61"/>
        <v>8.7459083333333325</v>
      </c>
      <c r="J1068" s="4">
        <f t="shared" si="61"/>
        <v>8.6670666666666669</v>
      </c>
      <c r="K1068" s="7"/>
      <c r="L1068" s="5">
        <f t="shared" ref="L1068:Q1068" si="62">SUM(L377:L388)</f>
        <v>336.06969999999995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4.4104999999999999</v>
      </c>
      <c r="P1068" s="5">
        <f t="shared" si="62"/>
        <v>14.718800000000003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9.3458416666666668</v>
      </c>
      <c r="C1069" s="8">
        <f t="shared" si="63"/>
        <v>9.3562583333333347</v>
      </c>
      <c r="D1069" s="8">
        <f t="shared" si="63"/>
        <v>9.3591000000000015</v>
      </c>
      <c r="E1069" s="8">
        <f t="shared" si="63"/>
        <v>9.3568083333333334</v>
      </c>
      <c r="F1069" s="4">
        <f t="shared" si="63"/>
        <v>10.365233333333331</v>
      </c>
      <c r="G1069" s="8">
        <f t="shared" si="63"/>
        <v>9.1155500000000007</v>
      </c>
      <c r="H1069" s="4">
        <f t="shared" si="63"/>
        <v>10.027474999999999</v>
      </c>
      <c r="I1069" s="8">
        <f t="shared" si="63"/>
        <v>9.0294166666666644</v>
      </c>
      <c r="J1069" s="4">
        <f t="shared" si="63"/>
        <v>8.9504333333333346</v>
      </c>
      <c r="K1069" s="7"/>
      <c r="L1069" s="5">
        <f t="shared" ref="L1069:Q1069" si="64">SUM(L389:L400)</f>
        <v>336.06969999999995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4.4104999999999999</v>
      </c>
      <c r="P1069" s="5">
        <f t="shared" si="64"/>
        <v>14.718800000000003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9.6512416666666674</v>
      </c>
      <c r="C1070" s="8">
        <f t="shared" si="65"/>
        <v>9.661699999999998</v>
      </c>
      <c r="D1070" s="8">
        <f t="shared" si="65"/>
        <v>9.6645083333333321</v>
      </c>
      <c r="E1070" s="8">
        <f t="shared" si="65"/>
        <v>9.6622249999999994</v>
      </c>
      <c r="F1070" s="4">
        <f t="shared" si="65"/>
        <v>10.67065</v>
      </c>
      <c r="G1070" s="8">
        <f t="shared" si="65"/>
        <v>9.4132583333333351</v>
      </c>
      <c r="H1070" s="4">
        <f t="shared" si="65"/>
        <v>10.325200000000001</v>
      </c>
      <c r="I1070" s="8">
        <f t="shared" si="65"/>
        <v>9.3222166666666659</v>
      </c>
      <c r="J1070" s="4">
        <f t="shared" si="65"/>
        <v>9.2430749999999993</v>
      </c>
      <c r="K1070" s="7"/>
      <c r="L1070" s="5">
        <f t="shared" ref="L1070:Q1070" si="66">SUM(L401:L412)</f>
        <v>336.95349999999996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4.4226000000000001</v>
      </c>
      <c r="P1070" s="5">
        <f t="shared" si="66"/>
        <v>14.760600000000004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9.9666499999999978</v>
      </c>
      <c r="C1071" s="8">
        <f t="shared" si="67"/>
        <v>9.9770833333333311</v>
      </c>
      <c r="D1071" s="8">
        <f t="shared" si="67"/>
        <v>9.9799166666666661</v>
      </c>
      <c r="E1071" s="8">
        <f t="shared" si="67"/>
        <v>9.9776249999999997</v>
      </c>
      <c r="F1071" s="4">
        <f t="shared" si="67"/>
        <v>10.986041666666665</v>
      </c>
      <c r="G1071" s="8">
        <f t="shared" si="67"/>
        <v>9.7206916666666672</v>
      </c>
      <c r="H1071" s="4">
        <f t="shared" si="67"/>
        <v>10.632625000000001</v>
      </c>
      <c r="I1071" s="8">
        <f t="shared" si="67"/>
        <v>9.6245750000000001</v>
      </c>
      <c r="J1071" s="4">
        <f t="shared" si="67"/>
        <v>9.5452916666666674</v>
      </c>
      <c r="K1071" s="7"/>
      <c r="L1071" s="5">
        <f t="shared" ref="L1071:Q1071" si="68">SUM(L413:L424)</f>
        <v>336.06969999999995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4.4104999999999999</v>
      </c>
      <c r="P1071" s="5">
        <f t="shared" si="68"/>
        <v>14.718800000000003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10.292383333333333</v>
      </c>
      <c r="C1072" s="8">
        <f t="shared" si="69"/>
        <v>10.302791666666666</v>
      </c>
      <c r="D1072" s="8">
        <f t="shared" si="69"/>
        <v>10.305633333333333</v>
      </c>
      <c r="E1072" s="8">
        <f t="shared" si="69"/>
        <v>10.303333333333333</v>
      </c>
      <c r="F1072" s="4">
        <f t="shared" si="69"/>
        <v>11.311741666666668</v>
      </c>
      <c r="G1072" s="8">
        <f t="shared" si="69"/>
        <v>10.038183333333334</v>
      </c>
      <c r="H1072" s="4">
        <f t="shared" si="69"/>
        <v>10.950116666666666</v>
      </c>
      <c r="I1072" s="8">
        <f t="shared" si="69"/>
        <v>9.9368249999999989</v>
      </c>
      <c r="J1072" s="4">
        <f t="shared" si="69"/>
        <v>9.8573916666666666</v>
      </c>
      <c r="K1072" s="7"/>
      <c r="L1072" s="5">
        <f t="shared" ref="L1072:Q1072" si="70">SUM(L425:L436)</f>
        <v>336.06969999999995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4.4104999999999999</v>
      </c>
      <c r="P1072" s="5">
        <f t="shared" si="70"/>
        <v>14.718800000000003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10.628716666666666</v>
      </c>
      <c r="C1073" s="8">
        <f t="shared" si="71"/>
        <v>10.639175</v>
      </c>
      <c r="D1073" s="8">
        <f t="shared" si="71"/>
        <v>10.641983333333334</v>
      </c>
      <c r="E1073" s="8">
        <f t="shared" si="71"/>
        <v>10.639699999999999</v>
      </c>
      <c r="F1073" s="4">
        <f t="shared" si="71"/>
        <v>11.648116666666667</v>
      </c>
      <c r="G1073" s="8">
        <f t="shared" si="71"/>
        <v>10.366058333333333</v>
      </c>
      <c r="H1073" s="4">
        <f t="shared" si="71"/>
        <v>11.278</v>
      </c>
      <c r="I1073" s="8">
        <f t="shared" si="71"/>
        <v>10.2593</v>
      </c>
      <c r="J1073" s="4">
        <f t="shared" si="71"/>
        <v>10.179683333333335</v>
      </c>
      <c r="K1073" s="7"/>
      <c r="L1073" s="5">
        <f t="shared" ref="L1073:Q1073" si="72">SUM(L437:L448)</f>
        <v>336.06969999999995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4.4104999999999999</v>
      </c>
      <c r="P1073" s="5">
        <f t="shared" si="72"/>
        <v>14.718800000000003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10.976100000000001</v>
      </c>
      <c r="C1074" s="8">
        <f t="shared" si="73"/>
        <v>10.986525</v>
      </c>
      <c r="D1074" s="8">
        <f t="shared" si="73"/>
        <v>10.989349999999996</v>
      </c>
      <c r="E1074" s="8">
        <f t="shared" si="73"/>
        <v>10.987066666666665</v>
      </c>
      <c r="F1074" s="4">
        <f t="shared" si="73"/>
        <v>11.995491666666668</v>
      </c>
      <c r="G1074" s="8">
        <f t="shared" si="73"/>
        <v>10.704666666666666</v>
      </c>
      <c r="H1074" s="4">
        <f t="shared" si="73"/>
        <v>11.616599999999998</v>
      </c>
      <c r="I1074" s="8">
        <f t="shared" si="73"/>
        <v>10.592308333333332</v>
      </c>
      <c r="J1074" s="4">
        <f t="shared" si="73"/>
        <v>10.512541666666666</v>
      </c>
      <c r="K1074" s="7"/>
      <c r="L1074" s="5">
        <f t="shared" ref="L1074:Q1074" si="74">SUM(L449:L460)</f>
        <v>336.95349999999996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4.4226000000000001</v>
      </c>
      <c r="P1074" s="5">
        <f t="shared" si="74"/>
        <v>14.760600000000004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11.334808333333333</v>
      </c>
      <c r="C1075" s="8">
        <f t="shared" si="75"/>
        <v>11.345258333333334</v>
      </c>
      <c r="D1075" s="8">
        <f t="shared" si="75"/>
        <v>11.348075</v>
      </c>
      <c r="E1075" s="8">
        <f t="shared" si="75"/>
        <v>11.345783333333332</v>
      </c>
      <c r="F1075" s="4">
        <f t="shared" si="75"/>
        <v>12.354191666666667</v>
      </c>
      <c r="G1075" s="8">
        <f t="shared" si="75"/>
        <v>11.054333333333332</v>
      </c>
      <c r="H1075" s="4">
        <f t="shared" si="75"/>
        <v>11.966283333333331</v>
      </c>
      <c r="I1075" s="8">
        <f t="shared" si="75"/>
        <v>10.936208333333333</v>
      </c>
      <c r="J1075" s="4">
        <f t="shared" si="75"/>
        <v>10.856274999999998</v>
      </c>
      <c r="K1075" s="7"/>
      <c r="L1075" s="5">
        <f t="shared" ref="L1075:Q1075" si="76">SUM(L461:L472)</f>
        <v>336.06969999999995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4.4104999999999999</v>
      </c>
      <c r="P1075" s="5">
        <f t="shared" si="76"/>
        <v>14.718800000000003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11.705258333333335</v>
      </c>
      <c r="C1076" s="8">
        <f t="shared" si="77"/>
        <v>11.715708333333334</v>
      </c>
      <c r="D1076" s="8">
        <f t="shared" si="77"/>
        <v>11.718525</v>
      </c>
      <c r="E1076" s="8">
        <f t="shared" si="77"/>
        <v>11.716233333333335</v>
      </c>
      <c r="F1076" s="4">
        <f t="shared" si="77"/>
        <v>12.724649999999999</v>
      </c>
      <c r="G1076" s="8">
        <f t="shared" si="77"/>
        <v>11.415458333333333</v>
      </c>
      <c r="H1076" s="4">
        <f t="shared" si="77"/>
        <v>12.327383333333335</v>
      </c>
      <c r="I1076" s="8">
        <f t="shared" si="77"/>
        <v>11.291366666666669</v>
      </c>
      <c r="J1076" s="4">
        <f t="shared" si="77"/>
        <v>11.211241666666666</v>
      </c>
      <c r="K1076" s="7"/>
      <c r="L1076" s="5">
        <f t="shared" ref="L1076:Q1076" si="78">SUM(L473:L484)</f>
        <v>336.06969999999995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4.4104999999999999</v>
      </c>
      <c r="P1076" s="5">
        <f t="shared" si="78"/>
        <v>14.718800000000003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12.087849999999998</v>
      </c>
      <c r="C1077" s="8">
        <f t="shared" si="79"/>
        <v>12.098266666666666</v>
      </c>
      <c r="D1077" s="8">
        <f t="shared" si="79"/>
        <v>12.10111666666667</v>
      </c>
      <c r="E1077" s="8">
        <f t="shared" si="79"/>
        <v>12.09881666666667</v>
      </c>
      <c r="F1077" s="4">
        <f t="shared" si="79"/>
        <v>13.107241666666665</v>
      </c>
      <c r="G1077" s="8">
        <f t="shared" si="79"/>
        <v>11.788350000000001</v>
      </c>
      <c r="H1077" s="4">
        <f t="shared" si="79"/>
        <v>12.700308333333332</v>
      </c>
      <c r="I1077" s="8">
        <f t="shared" si="79"/>
        <v>11.658133333333332</v>
      </c>
      <c r="J1077" s="4">
        <f t="shared" si="79"/>
        <v>11.577816666666669</v>
      </c>
      <c r="K1077" s="7"/>
      <c r="L1077" s="5">
        <f t="shared" ref="L1077:Q1077" si="80">SUM(L485:L496)</f>
        <v>336.06969999999995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4.4104999999999999</v>
      </c>
      <c r="P1077" s="5">
        <f t="shared" si="80"/>
        <v>14.718800000000003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12.482925</v>
      </c>
      <c r="C1078" s="8">
        <f t="shared" si="81"/>
        <v>12.49335</v>
      </c>
      <c r="D1078" s="8">
        <f t="shared" si="81"/>
        <v>12.496191666666668</v>
      </c>
      <c r="E1078" s="8">
        <f t="shared" si="81"/>
        <v>12.493900000000002</v>
      </c>
      <c r="F1078" s="4">
        <f t="shared" si="81"/>
        <v>13.502316666666665</v>
      </c>
      <c r="G1078" s="8">
        <f t="shared" si="81"/>
        <v>12.173483333333332</v>
      </c>
      <c r="H1078" s="4">
        <f t="shared" si="81"/>
        <v>13.085425000000001</v>
      </c>
      <c r="I1078" s="8">
        <f t="shared" si="81"/>
        <v>12.03688333333333</v>
      </c>
      <c r="J1078" s="4">
        <f t="shared" si="81"/>
        <v>11.956375</v>
      </c>
      <c r="K1078" s="7"/>
      <c r="L1078" s="5">
        <f t="shared" ref="L1078:Q1078" si="82">SUM(L497:L508)</f>
        <v>336.95349999999996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4.4226000000000001</v>
      </c>
      <c r="P1078" s="5">
        <f t="shared" si="82"/>
        <v>14.760600000000004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12.890933333333331</v>
      </c>
      <c r="C1079" s="8">
        <f t="shared" si="83"/>
        <v>12.901366666666666</v>
      </c>
      <c r="D1079" s="8">
        <f t="shared" si="83"/>
        <v>12.904191666666668</v>
      </c>
      <c r="E1079" s="8">
        <f t="shared" si="83"/>
        <v>12.901908333333333</v>
      </c>
      <c r="F1079" s="4">
        <f t="shared" si="83"/>
        <v>13.910324999999998</v>
      </c>
      <c r="G1079" s="8">
        <f t="shared" si="83"/>
        <v>12.571199999999997</v>
      </c>
      <c r="H1079" s="4">
        <f t="shared" si="83"/>
        <v>13.483133333333335</v>
      </c>
      <c r="I1079" s="8">
        <f t="shared" si="83"/>
        <v>12.428016666666666</v>
      </c>
      <c r="J1079" s="4">
        <f t="shared" si="83"/>
        <v>12.347324999999998</v>
      </c>
      <c r="K1079" s="7"/>
      <c r="L1079" s="5">
        <f t="shared" ref="L1079:Q1079" si="84">SUM(L509:L520)</f>
        <v>336.06969999999995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4.4104999999999999</v>
      </c>
      <c r="P1079" s="5">
        <f t="shared" si="84"/>
        <v>14.718800000000003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13.312275</v>
      </c>
      <c r="C1080" s="8">
        <f t="shared" si="85"/>
        <v>13.322699999999999</v>
      </c>
      <c r="D1080" s="8">
        <f t="shared" si="85"/>
        <v>13.32555</v>
      </c>
      <c r="E1080" s="8">
        <f t="shared" si="85"/>
        <v>13.323258333333335</v>
      </c>
      <c r="F1080" s="4">
        <f t="shared" si="85"/>
        <v>14.331666666666665</v>
      </c>
      <c r="G1080" s="8">
        <f t="shared" si="85"/>
        <v>12.981900000000001</v>
      </c>
      <c r="H1080" s="4">
        <f t="shared" si="85"/>
        <v>13.893858333333336</v>
      </c>
      <c r="I1080" s="8">
        <f t="shared" si="85"/>
        <v>12.831966666666668</v>
      </c>
      <c r="J1080" s="4">
        <f t="shared" si="85"/>
        <v>12.751083333333334</v>
      </c>
      <c r="K1080" s="7"/>
      <c r="L1080" s="5">
        <f t="shared" ref="L1080:Q1080" si="86">SUM(L521:L532)</f>
        <v>336.06969999999995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4.4104999999999999</v>
      </c>
      <c r="P1080" s="5">
        <f t="shared" si="86"/>
        <v>14.718800000000003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13.747399999999999</v>
      </c>
      <c r="C1081" s="8">
        <f t="shared" si="87"/>
        <v>13.757849999999999</v>
      </c>
      <c r="D1081" s="8">
        <f t="shared" si="87"/>
        <v>13.760675000000001</v>
      </c>
      <c r="E1081" s="8">
        <f t="shared" si="87"/>
        <v>13.758383333333329</v>
      </c>
      <c r="F1081" s="4">
        <f t="shared" si="87"/>
        <v>14.766791666666665</v>
      </c>
      <c r="G1081" s="8">
        <f t="shared" si="87"/>
        <v>13.406058333333332</v>
      </c>
      <c r="H1081" s="4">
        <f t="shared" si="87"/>
        <v>14.318000000000003</v>
      </c>
      <c r="I1081" s="8">
        <f t="shared" si="87"/>
        <v>13.249116666666666</v>
      </c>
      <c r="J1081" s="4">
        <f t="shared" si="87"/>
        <v>13.167999999999999</v>
      </c>
      <c r="K1081" s="4"/>
      <c r="L1081" s="5">
        <f>SUM(L533:L544)</f>
        <v>336.06969999999995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4.4104999999999999</v>
      </c>
      <c r="P1081" s="5">
        <f>SUM(P533:P544)</f>
        <v>14.718800000000003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14.196758333333333</v>
      </c>
      <c r="C1082" s="8">
        <f t="shared" si="88"/>
        <v>14.2072</v>
      </c>
      <c r="D1082" s="8">
        <f t="shared" si="88"/>
        <v>14.210025</v>
      </c>
      <c r="E1082" s="8">
        <f t="shared" si="88"/>
        <v>14.207741666666665</v>
      </c>
      <c r="F1082" s="4">
        <f t="shared" si="88"/>
        <v>15.216141666666667</v>
      </c>
      <c r="G1082" s="8">
        <f t="shared" si="88"/>
        <v>13.844083333333332</v>
      </c>
      <c r="H1082" s="4">
        <f t="shared" si="88"/>
        <v>14.756016666666666</v>
      </c>
      <c r="I1082" s="8">
        <f t="shared" si="88"/>
        <v>13.679891666666668</v>
      </c>
      <c r="J1082" s="4">
        <f t="shared" si="88"/>
        <v>13.598574999999999</v>
      </c>
      <c r="K1082" s="7"/>
      <c r="L1082" s="5">
        <f>SUM(L545:L556)</f>
        <v>336.95349999999996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4.4104999999999999</v>
      </c>
      <c r="P1082" s="5">
        <f>SUM(P545:P556)</f>
        <v>14.760600000000004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14.660825000000003</v>
      </c>
      <c r="C1083" s="8">
        <f t="shared" si="89"/>
        <v>14.671250000000001</v>
      </c>
      <c r="D1083" s="8">
        <f t="shared" si="89"/>
        <v>14.674083333333334</v>
      </c>
      <c r="E1083" s="8">
        <f t="shared" si="89"/>
        <v>14.671799999999998</v>
      </c>
      <c r="F1083" s="4">
        <f t="shared" si="89"/>
        <v>15.680200000000001</v>
      </c>
      <c r="G1083" s="8">
        <f t="shared" si="89"/>
        <v>14.296433333333331</v>
      </c>
      <c r="H1083" s="4">
        <f t="shared" si="89"/>
        <v>15.208375000000004</v>
      </c>
      <c r="I1083" s="8">
        <f t="shared" si="89"/>
        <v>14.124791666666667</v>
      </c>
      <c r="J1083" s="4">
        <f t="shared" si="89"/>
        <v>14.043241666666667</v>
      </c>
      <c r="K1083" s="7"/>
      <c r="L1083" s="5">
        <f>SUM(L557:L568)</f>
        <v>336.06969999999995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4.4104999999999999</v>
      </c>
      <c r="P1083" s="5">
        <f>SUM(P557:P568)</f>
        <v>14.718800000000003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15.140041666666667</v>
      </c>
      <c r="C1084" s="4">
        <f t="shared" ca="1" si="90"/>
        <v>15.150475</v>
      </c>
      <c r="D1084" s="4">
        <f t="shared" ca="1" si="90"/>
        <v>15.153308333333333</v>
      </c>
      <c r="E1084" s="4">
        <f t="shared" ca="1" si="90"/>
        <v>15.151016666666671</v>
      </c>
      <c r="F1084" s="4">
        <f t="shared" ca="1" si="90"/>
        <v>16.159408333333335</v>
      </c>
      <c r="G1084" s="4">
        <f t="shared" ca="1" si="90"/>
        <v>14.763575000000001</v>
      </c>
      <c r="H1084" s="4">
        <f t="shared" ca="1" si="90"/>
        <v>15.675516666666665</v>
      </c>
      <c r="I1084" s="4">
        <f t="shared" ca="1" si="90"/>
        <v>14.584208333333331</v>
      </c>
      <c r="J1084" s="4">
        <f t="shared" ca="1" si="90"/>
        <v>14.502441666666668</v>
      </c>
      <c r="K1084" s="4"/>
      <c r="L1084" s="5">
        <f t="shared" ref="L1084:Q1093" ca="1" si="91">SUM(OFFSET(L$569,($A1084-$A$1084)*12,0,12,1))</f>
        <v>336.06969999999995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4.4104999999999999</v>
      </c>
      <c r="P1084" s="5">
        <f t="shared" ca="1" si="91"/>
        <v>14.718800000000003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15.63494166666667</v>
      </c>
      <c r="C1085" s="4">
        <f t="shared" ca="1" si="90"/>
        <v>15.645375000000001</v>
      </c>
      <c r="D1085" s="4">
        <f t="shared" ca="1" si="90"/>
        <v>15.648208333333335</v>
      </c>
      <c r="E1085" s="4">
        <f t="shared" ca="1" si="90"/>
        <v>15.645908333333333</v>
      </c>
      <c r="F1085" s="4">
        <f t="shared" ca="1" si="90"/>
        <v>16.654324999999996</v>
      </c>
      <c r="G1085" s="4">
        <f t="shared" ca="1" si="90"/>
        <v>15.245983333333335</v>
      </c>
      <c r="H1085" s="4">
        <f t="shared" ca="1" si="90"/>
        <v>16.157916666666669</v>
      </c>
      <c r="I1085" s="4">
        <f t="shared" ca="1" si="90"/>
        <v>15.058649999999998</v>
      </c>
      <c r="J1085" s="4">
        <f t="shared" ca="1" si="90"/>
        <v>14.976649999999999</v>
      </c>
      <c r="K1085" s="4"/>
      <c r="L1085" s="5">
        <f t="shared" ca="1" si="91"/>
        <v>336.06969999999995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4.4104999999999999</v>
      </c>
      <c r="P1085" s="5">
        <f t="shared" ca="1" si="91"/>
        <v>14.718800000000003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16.146025000000002</v>
      </c>
      <c r="C1086" s="4">
        <f t="shared" ca="1" si="90"/>
        <v>16.156474999999997</v>
      </c>
      <c r="D1086" s="4">
        <f t="shared" ca="1" si="90"/>
        <v>16.159308333333332</v>
      </c>
      <c r="E1086" s="4">
        <f t="shared" ca="1" si="90"/>
        <v>16.157008333333334</v>
      </c>
      <c r="F1086" s="4">
        <f t="shared" ca="1" si="90"/>
        <v>17.165433333333336</v>
      </c>
      <c r="G1086" s="4">
        <f t="shared" ca="1" si="90"/>
        <v>15.744175000000004</v>
      </c>
      <c r="H1086" s="4">
        <f t="shared" ca="1" si="90"/>
        <v>16.656116666666666</v>
      </c>
      <c r="I1086" s="4">
        <f t="shared" ca="1" si="90"/>
        <v>15.548633333333333</v>
      </c>
      <c r="J1086" s="4">
        <f t="shared" ca="1" si="90"/>
        <v>15.466366666666666</v>
      </c>
      <c r="K1086" s="4"/>
      <c r="L1086" s="5">
        <f t="shared" ca="1" si="91"/>
        <v>336.95349999999996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4.4226000000000001</v>
      </c>
      <c r="P1086" s="5">
        <f t="shared" ca="1" si="91"/>
        <v>14.760600000000004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16.673849999999998</v>
      </c>
      <c r="C1087" s="4">
        <f t="shared" ca="1" si="90"/>
        <v>16.684266666666669</v>
      </c>
      <c r="D1087" s="4">
        <f t="shared" ca="1" si="90"/>
        <v>16.687099999999997</v>
      </c>
      <c r="E1087" s="4">
        <f t="shared" ca="1" si="90"/>
        <v>16.684808333333333</v>
      </c>
      <c r="F1087" s="4">
        <f t="shared" ca="1" si="90"/>
        <v>17.693225000000005</v>
      </c>
      <c r="G1087" s="4">
        <f t="shared" ca="1" si="90"/>
        <v>16.258649999999999</v>
      </c>
      <c r="H1087" s="4">
        <f t="shared" ca="1" si="90"/>
        <v>17.170600000000004</v>
      </c>
      <c r="I1087" s="4">
        <f t="shared" ca="1" si="90"/>
        <v>16.054625000000001</v>
      </c>
      <c r="J1087" s="4">
        <f t="shared" ca="1" si="90"/>
        <v>15.972116666666667</v>
      </c>
      <c r="K1087" s="4"/>
      <c r="L1087" s="5">
        <f t="shared" ca="1" si="91"/>
        <v>336.06969999999995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4.4104999999999999</v>
      </c>
      <c r="P1087" s="5">
        <f t="shared" ca="1" si="91"/>
        <v>14.718800000000003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17.218900000000001</v>
      </c>
      <c r="C1088" s="4">
        <f t="shared" ca="1" si="90"/>
        <v>17.229333333333333</v>
      </c>
      <c r="D1088" s="4">
        <f t="shared" ca="1" si="90"/>
        <v>17.232166666666668</v>
      </c>
      <c r="E1088" s="4">
        <f t="shared" ca="1" si="90"/>
        <v>17.229875000000003</v>
      </c>
      <c r="F1088" s="4">
        <f t="shared" ca="1" si="90"/>
        <v>18.238283333333335</v>
      </c>
      <c r="G1088" s="4">
        <f t="shared" ca="1" si="90"/>
        <v>16.789966666666668</v>
      </c>
      <c r="H1088" s="4">
        <f t="shared" ca="1" si="90"/>
        <v>17.701908333333336</v>
      </c>
      <c r="I1088" s="4">
        <f t="shared" ca="1" si="90"/>
        <v>16.577175</v>
      </c>
      <c r="J1088" s="4">
        <f t="shared" ca="1" si="90"/>
        <v>16.494391666666669</v>
      </c>
      <c r="K1088" s="4"/>
      <c r="L1088" s="5">
        <f t="shared" ca="1" si="91"/>
        <v>336.06969999999995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4.4104999999999999</v>
      </c>
      <c r="P1088" s="5">
        <f t="shared" ca="1" si="91"/>
        <v>14.718800000000003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17.781783333333337</v>
      </c>
      <c r="C1089" s="4">
        <f t="shared" ca="1" si="90"/>
        <v>17.792224999999998</v>
      </c>
      <c r="D1089" s="4">
        <f t="shared" ca="1" si="90"/>
        <v>17.795041666666666</v>
      </c>
      <c r="E1089" s="4">
        <f t="shared" ca="1" si="90"/>
        <v>17.792758333333332</v>
      </c>
      <c r="F1089" s="4">
        <f t="shared" ca="1" si="90"/>
        <v>18.801166666666667</v>
      </c>
      <c r="G1089" s="4">
        <f t="shared" ca="1" si="90"/>
        <v>17.338666666666665</v>
      </c>
      <c r="H1089" s="4">
        <f t="shared" ca="1" si="90"/>
        <v>18.250591666666669</v>
      </c>
      <c r="I1089" s="4">
        <f t="shared" ca="1" si="90"/>
        <v>17.116783333333331</v>
      </c>
      <c r="J1089" s="4">
        <f t="shared" ca="1" si="90"/>
        <v>17.033741666666668</v>
      </c>
      <c r="K1089" s="4"/>
      <c r="L1089" s="5">
        <f t="shared" ca="1" si="91"/>
        <v>336.06969999999995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4.4104999999999999</v>
      </c>
      <c r="P1089" s="5">
        <f t="shared" ca="1" si="91"/>
        <v>14.718800000000003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18.363083333333336</v>
      </c>
      <c r="C1090" s="4">
        <f t="shared" ca="1" si="90"/>
        <v>18.373516666666667</v>
      </c>
      <c r="D1090" s="4">
        <f t="shared" ca="1" si="90"/>
        <v>18.376341666666665</v>
      </c>
      <c r="E1090" s="4">
        <f t="shared" ca="1" si="90"/>
        <v>18.37405</v>
      </c>
      <c r="F1090" s="4">
        <f t="shared" ca="1" si="90"/>
        <v>19.382466666666666</v>
      </c>
      <c r="G1090" s="4">
        <f t="shared" ca="1" si="90"/>
        <v>17.90530833333333</v>
      </c>
      <c r="H1090" s="4">
        <f t="shared" ca="1" si="90"/>
        <v>18.817225000000001</v>
      </c>
      <c r="I1090" s="4">
        <f t="shared" ca="1" si="90"/>
        <v>17.674058333333331</v>
      </c>
      <c r="J1090" s="4">
        <f t="shared" ca="1" si="90"/>
        <v>17.590750000000003</v>
      </c>
      <c r="K1090" s="4"/>
      <c r="L1090" s="5">
        <f t="shared" ca="1" si="91"/>
        <v>336.95349999999996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4.4226000000000001</v>
      </c>
      <c r="P1090" s="5">
        <f t="shared" ca="1" si="91"/>
        <v>14.760600000000004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18.963383333333336</v>
      </c>
      <c r="C1091" s="4">
        <f t="shared" ca="1" si="90"/>
        <v>18.973825000000001</v>
      </c>
      <c r="D1091" s="4">
        <f t="shared" ca="1" si="90"/>
        <v>18.976666666666667</v>
      </c>
      <c r="E1091" s="4">
        <f t="shared" ca="1" si="90"/>
        <v>18.974375000000002</v>
      </c>
      <c r="F1091" s="4">
        <f t="shared" ca="1" si="90"/>
        <v>19.982775</v>
      </c>
      <c r="G1091" s="4">
        <f t="shared" ca="1" si="90"/>
        <v>18.490441666666666</v>
      </c>
      <c r="H1091" s="4">
        <f t="shared" ca="1" si="90"/>
        <v>19.402383333333336</v>
      </c>
      <c r="I1091" s="4">
        <f t="shared" ca="1" si="90"/>
        <v>18.249558333333336</v>
      </c>
      <c r="J1091" s="4">
        <f t="shared" ca="1" si="90"/>
        <v>18.165950000000002</v>
      </c>
      <c r="K1091" s="4"/>
      <c r="L1091" s="5">
        <f t="shared" ca="1" si="91"/>
        <v>336.06969999999995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4.4104999999999999</v>
      </c>
      <c r="P1091" s="5">
        <f t="shared" ca="1" si="91"/>
        <v>14.718800000000003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19.583324999999999</v>
      </c>
      <c r="C1092" s="4">
        <f t="shared" ca="1" si="90"/>
        <v>19.593766666666664</v>
      </c>
      <c r="D1092" s="4">
        <f t="shared" ca="1" si="90"/>
        <v>19.596608333333332</v>
      </c>
      <c r="E1092" s="4">
        <f t="shared" ca="1" si="90"/>
        <v>19.594308333333341</v>
      </c>
      <c r="F1092" s="4">
        <f t="shared" ca="1" si="90"/>
        <v>20.602708333333336</v>
      </c>
      <c r="G1092" s="4">
        <f t="shared" ca="1" si="90"/>
        <v>19.094749999999994</v>
      </c>
      <c r="H1092" s="4">
        <f t="shared" ca="1" si="90"/>
        <v>20.006683333333331</v>
      </c>
      <c r="I1092" s="4">
        <f t="shared" ca="1" si="90"/>
        <v>18.843899999999994</v>
      </c>
      <c r="J1092" s="4">
        <f t="shared" ca="1" si="90"/>
        <v>18.759991666666668</v>
      </c>
      <c r="K1092" s="4"/>
      <c r="L1092" s="5">
        <f t="shared" ca="1" si="91"/>
        <v>336.06969999999995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4.4104999999999999</v>
      </c>
      <c r="P1092" s="5">
        <f t="shared" ca="1" si="91"/>
        <v>14.718800000000003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20.223558333333333</v>
      </c>
      <c r="C1093" s="4">
        <f t="shared" ca="1" si="90"/>
        <v>20.233966666666671</v>
      </c>
      <c r="D1093" s="4">
        <f t="shared" ca="1" si="90"/>
        <v>20.236808333333332</v>
      </c>
      <c r="E1093" s="4">
        <f t="shared" ca="1" si="90"/>
        <v>20.234508333333334</v>
      </c>
      <c r="F1093" s="4">
        <f t="shared" ca="1" si="90"/>
        <v>21.242933333333337</v>
      </c>
      <c r="G1093" s="4">
        <f t="shared" ca="1" si="90"/>
        <v>19.718808333333335</v>
      </c>
      <c r="H1093" s="4">
        <f t="shared" ca="1" si="90"/>
        <v>20.630733333333335</v>
      </c>
      <c r="I1093" s="4">
        <f t="shared" ca="1" si="90"/>
        <v>19.457649999999997</v>
      </c>
      <c r="J1093" s="4">
        <f t="shared" ca="1" si="90"/>
        <v>19.373433333333335</v>
      </c>
      <c r="K1093" s="4"/>
      <c r="L1093" s="5">
        <f t="shared" ca="1" si="91"/>
        <v>336.06969999999995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4.4104999999999999</v>
      </c>
      <c r="P1093" s="5">
        <f t="shared" ca="1" si="91"/>
        <v>14.718800000000003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20.884674999999998</v>
      </c>
      <c r="C1094" s="4">
        <f t="shared" ca="1" si="93"/>
        <v>20.895141666666667</v>
      </c>
      <c r="D1094" s="4">
        <f t="shared" ca="1" si="93"/>
        <v>20.897958333333335</v>
      </c>
      <c r="E1094" s="4">
        <f t="shared" ca="1" si="93"/>
        <v>20.895658333333333</v>
      </c>
      <c r="F1094" s="4">
        <f t="shared" ca="1" si="93"/>
        <v>21.904075000000002</v>
      </c>
      <c r="G1094" s="4">
        <f t="shared" ca="1" si="93"/>
        <v>20.363283333333335</v>
      </c>
      <c r="H1094" s="4">
        <f t="shared" ca="1" si="93"/>
        <v>21.275208333333335</v>
      </c>
      <c r="I1094" s="4">
        <f t="shared" ca="1" si="93"/>
        <v>20.091474999999999</v>
      </c>
      <c r="J1094" s="4">
        <f t="shared" ca="1" si="93"/>
        <v>20.006958333333333</v>
      </c>
      <c r="K1094" s="4"/>
      <c r="L1094" s="5">
        <f t="shared" ref="L1094:Q1103" ca="1" si="94">SUM(OFFSET(L$569,($A1094-$A$1084)*12,0,12,1))</f>
        <v>336.95349999999996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4.4226000000000001</v>
      </c>
      <c r="P1094" s="5">
        <f t="shared" ca="1" si="94"/>
        <v>14.760600000000004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21.567466666666665</v>
      </c>
      <c r="C1095" s="4">
        <f t="shared" ca="1" si="93"/>
        <v>21.5779</v>
      </c>
      <c r="D1095" s="4">
        <f t="shared" ca="1" si="93"/>
        <v>21.580733333333338</v>
      </c>
      <c r="E1095" s="4">
        <f t="shared" ca="1" si="93"/>
        <v>21.578450000000004</v>
      </c>
      <c r="F1095" s="4">
        <f t="shared" ca="1" si="93"/>
        <v>22.586849999999998</v>
      </c>
      <c r="G1095" s="4">
        <f t="shared" ca="1" si="93"/>
        <v>21.028825000000005</v>
      </c>
      <c r="H1095" s="4">
        <f t="shared" ca="1" si="93"/>
        <v>21.940774999999999</v>
      </c>
      <c r="I1095" s="4">
        <f t="shared" ca="1" si="93"/>
        <v>20.746033333333337</v>
      </c>
      <c r="J1095" s="4">
        <f t="shared" ca="1" si="93"/>
        <v>20.661191666666667</v>
      </c>
      <c r="K1095" s="4"/>
      <c r="L1095" s="5">
        <f t="shared" ca="1" si="94"/>
        <v>336.06969999999995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4.4104999999999999</v>
      </c>
      <c r="P1095" s="5">
        <f t="shared" ca="1" si="94"/>
        <v>14.718800000000003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22.272566666666666</v>
      </c>
      <c r="C1096" s="4">
        <f t="shared" ca="1" si="93"/>
        <v>22.283000000000005</v>
      </c>
      <c r="D1096" s="4">
        <f t="shared" ca="1" si="93"/>
        <v>22.285816666666665</v>
      </c>
      <c r="E1096" s="4">
        <f t="shared" ca="1" si="93"/>
        <v>22.283525000000008</v>
      </c>
      <c r="F1096" s="4">
        <f t="shared" ca="1" si="93"/>
        <v>23.291958333333337</v>
      </c>
      <c r="G1096" s="4">
        <f t="shared" ca="1" si="93"/>
        <v>21.716133333333332</v>
      </c>
      <c r="H1096" s="4">
        <f t="shared" ca="1" si="93"/>
        <v>22.628083333333336</v>
      </c>
      <c r="I1096" s="4">
        <f t="shared" ca="1" si="93"/>
        <v>21.422008333333334</v>
      </c>
      <c r="J1096" s="4">
        <f t="shared" ca="1" si="93"/>
        <v>21.336825000000001</v>
      </c>
      <c r="K1096" s="4"/>
      <c r="L1096" s="5">
        <f t="shared" ca="1" si="94"/>
        <v>336.06969999999995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4.4104999999999999</v>
      </c>
      <c r="P1096" s="5">
        <f t="shared" ca="1" si="94"/>
        <v>14.718800000000003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23.000725000000003</v>
      </c>
      <c r="C1097" s="4">
        <f t="shared" ca="1" si="93"/>
        <v>23.011166666666668</v>
      </c>
      <c r="D1097" s="4">
        <f t="shared" ca="1" si="93"/>
        <v>23.013991666666666</v>
      </c>
      <c r="E1097" s="4">
        <f t="shared" ca="1" si="93"/>
        <v>23.011700000000001</v>
      </c>
      <c r="F1097" s="4">
        <f t="shared" ca="1" si="93"/>
        <v>24.020116666666667</v>
      </c>
      <c r="G1097" s="4">
        <f t="shared" ca="1" si="93"/>
        <v>22.42594166666667</v>
      </c>
      <c r="H1097" s="4">
        <f t="shared" ca="1" si="93"/>
        <v>23.337858333333333</v>
      </c>
      <c r="I1097" s="4">
        <f t="shared" ca="1" si="93"/>
        <v>22.120066666666663</v>
      </c>
      <c r="J1097" s="4">
        <f t="shared" ca="1" si="93"/>
        <v>22.034533333333332</v>
      </c>
      <c r="K1097" s="4"/>
      <c r="L1097" s="5">
        <f t="shared" ca="1" si="94"/>
        <v>336.06969999999995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4.4104999999999999</v>
      </c>
      <c r="P1097" s="5">
        <f t="shared" ca="1" si="94"/>
        <v>14.718800000000003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23.752708333333331</v>
      </c>
      <c r="C1098" s="4">
        <f t="shared" ca="1" si="93"/>
        <v>23.763141666666669</v>
      </c>
      <c r="D1098" s="4">
        <f t="shared" ca="1" si="93"/>
        <v>23.765958333333341</v>
      </c>
      <c r="E1098" s="4">
        <f t="shared" ca="1" si="93"/>
        <v>23.763675000000003</v>
      </c>
      <c r="F1098" s="4">
        <f t="shared" ca="1" si="93"/>
        <v>24.772091666666665</v>
      </c>
      <c r="G1098" s="4">
        <f t="shared" ca="1" si="93"/>
        <v>23.158933333333337</v>
      </c>
      <c r="H1098" s="4">
        <f t="shared" ca="1" si="93"/>
        <v>24.070883333333331</v>
      </c>
      <c r="I1098" s="4">
        <f t="shared" ca="1" si="93"/>
        <v>22.840975</v>
      </c>
      <c r="J1098" s="4">
        <f t="shared" ca="1" si="93"/>
        <v>22.755075000000001</v>
      </c>
      <c r="K1098" s="4"/>
      <c r="L1098" s="5">
        <f t="shared" ca="1" si="94"/>
        <v>336.95349999999996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4.4226000000000001</v>
      </c>
      <c r="P1098" s="5">
        <f t="shared" ca="1" si="94"/>
        <v>14.760600000000004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24.529274999999998</v>
      </c>
      <c r="C1099" s="4">
        <f t="shared" ca="1" si="93"/>
        <v>24.539716666666667</v>
      </c>
      <c r="D1099" s="4">
        <f t="shared" ca="1" si="93"/>
        <v>24.542533333333335</v>
      </c>
      <c r="E1099" s="4">
        <f t="shared" ca="1" si="93"/>
        <v>24.540233333333333</v>
      </c>
      <c r="F1099" s="4">
        <f t="shared" ca="1" si="93"/>
        <v>25.548649999999999</v>
      </c>
      <c r="G1099" s="4">
        <f t="shared" ca="1" si="93"/>
        <v>23.915908333333334</v>
      </c>
      <c r="H1099" s="4">
        <f t="shared" ca="1" si="93"/>
        <v>24.827841666666671</v>
      </c>
      <c r="I1099" s="4">
        <f t="shared" ca="1" si="93"/>
        <v>23.585458333333332</v>
      </c>
      <c r="J1099" s="4">
        <f t="shared" ca="1" si="93"/>
        <v>23.499208333333332</v>
      </c>
      <c r="K1099" s="4"/>
      <c r="L1099" s="5">
        <f t="shared" ca="1" si="94"/>
        <v>336.06969999999995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4.4104999999999999</v>
      </c>
      <c r="P1099" s="5">
        <f t="shared" ca="1" si="94"/>
        <v>14.718800000000003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25.331233333333333</v>
      </c>
      <c r="C1100" s="4">
        <f t="shared" ca="1" si="93"/>
        <v>25.341674999999999</v>
      </c>
      <c r="D1100" s="4">
        <f t="shared" ca="1" si="93"/>
        <v>25.344491666666666</v>
      </c>
      <c r="E1100" s="4">
        <f t="shared" ca="1" si="93"/>
        <v>25.342208333333332</v>
      </c>
      <c r="F1100" s="4">
        <f t="shared" ca="1" si="93"/>
        <v>26.350616666666667</v>
      </c>
      <c r="G1100" s="4">
        <f t="shared" ca="1" si="93"/>
        <v>24.697633333333332</v>
      </c>
      <c r="H1100" s="4">
        <f t="shared" ca="1" si="93"/>
        <v>25.609583333333333</v>
      </c>
      <c r="I1100" s="4">
        <f t="shared" ca="1" si="93"/>
        <v>24.354299999999995</v>
      </c>
      <c r="J1100" s="4">
        <f t="shared" ca="1" si="93"/>
        <v>24.267641666666666</v>
      </c>
      <c r="K1100" s="4"/>
      <c r="L1100" s="5">
        <f t="shared" ca="1" si="94"/>
        <v>336.06969999999995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4.4104999999999999</v>
      </c>
      <c r="P1100" s="5">
        <f t="shared" ca="1" si="94"/>
        <v>14.718800000000003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26.15944166666667</v>
      </c>
      <c r="C1101" s="4">
        <f t="shared" ca="1" si="93"/>
        <v>26.169858333333337</v>
      </c>
      <c r="D1101" s="4">
        <f t="shared" ca="1" si="93"/>
        <v>26.172666666666668</v>
      </c>
      <c r="E1101" s="4">
        <f t="shared" ca="1" si="93"/>
        <v>26.17038333333333</v>
      </c>
      <c r="F1101" s="4">
        <f t="shared" ca="1" si="93"/>
        <v>27.178816666666663</v>
      </c>
      <c r="G1101" s="4">
        <f t="shared" ca="1" si="93"/>
        <v>25.504950000000004</v>
      </c>
      <c r="H1101" s="4">
        <f t="shared" ca="1" si="93"/>
        <v>26.416891666666668</v>
      </c>
      <c r="I1101" s="4">
        <f t="shared" ca="1" si="93"/>
        <v>25.148266666666672</v>
      </c>
      <c r="J1101" s="4">
        <f t="shared" ca="1" si="93"/>
        <v>25.061191666666662</v>
      </c>
      <c r="K1101" s="4"/>
      <c r="L1101" s="5">
        <f t="shared" ca="1" si="94"/>
        <v>336.06969999999995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4.4104999999999999</v>
      </c>
      <c r="P1101" s="5">
        <f t="shared" ca="1" si="94"/>
        <v>14.718800000000003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27.014683333333338</v>
      </c>
      <c r="C1102" s="4">
        <f t="shared" ca="1" si="93"/>
        <v>27.02515</v>
      </c>
      <c r="D1102" s="4">
        <f t="shared" ca="1" si="93"/>
        <v>27.027974999999998</v>
      </c>
      <c r="E1102" s="4">
        <f t="shared" ca="1" si="93"/>
        <v>27.025683333333337</v>
      </c>
      <c r="F1102" s="4">
        <f t="shared" ca="1" si="93"/>
        <v>28.034099999999999</v>
      </c>
      <c r="G1102" s="4">
        <f t="shared" ca="1" si="93"/>
        <v>26.338641666666661</v>
      </c>
      <c r="H1102" s="4">
        <f t="shared" ca="1" si="93"/>
        <v>27.250575000000001</v>
      </c>
      <c r="I1102" s="4">
        <f t="shared" ca="1" si="93"/>
        <v>25.968191666666666</v>
      </c>
      <c r="J1102" s="4">
        <f t="shared" ca="1" si="93"/>
        <v>25.880733333333335</v>
      </c>
      <c r="K1102" s="4"/>
      <c r="L1102" s="5">
        <f t="shared" ca="1" si="94"/>
        <v>336.95349999999996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4.4226000000000001</v>
      </c>
      <c r="P1102" s="5">
        <f t="shared" ca="1" si="94"/>
        <v>14.760600000000004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27.897966666666662</v>
      </c>
      <c r="C1103" s="4">
        <f t="shared" ca="1" si="93"/>
        <v>27.908374999999996</v>
      </c>
      <c r="D1103" s="4">
        <f t="shared" ca="1" si="93"/>
        <v>27.911216666666665</v>
      </c>
      <c r="E1103" s="4">
        <f t="shared" ca="1" si="93"/>
        <v>27.90891666666667</v>
      </c>
      <c r="F1103" s="4">
        <f t="shared" ca="1" si="93"/>
        <v>28.917333333333335</v>
      </c>
      <c r="G1103" s="4">
        <f t="shared" ca="1" si="93"/>
        <v>27.199600000000004</v>
      </c>
      <c r="H1103" s="4">
        <f t="shared" ca="1" si="93"/>
        <v>28.111533333333337</v>
      </c>
      <c r="I1103" s="4">
        <f t="shared" ca="1" si="93"/>
        <v>26.814949999999996</v>
      </c>
      <c r="J1103" s="4">
        <f t="shared" ca="1" si="93"/>
        <v>26.727058333333336</v>
      </c>
      <c r="K1103" s="4"/>
      <c r="L1103" s="5">
        <f t="shared" ca="1" si="94"/>
        <v>336.06969999999995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4.4104999999999999</v>
      </c>
      <c r="P1103" s="5">
        <f t="shared" ca="1" si="94"/>
        <v>14.718800000000003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28.810100000000006</v>
      </c>
      <c r="C1104" s="4">
        <f t="shared" ca="1" si="95"/>
        <v>28.820516666666673</v>
      </c>
      <c r="D1104" s="4">
        <f t="shared" ca="1" si="95"/>
        <v>28.823333333333338</v>
      </c>
      <c r="E1104" s="4">
        <f t="shared" ca="1" si="95"/>
        <v>28.821041666666659</v>
      </c>
      <c r="F1104" s="4">
        <f t="shared" ca="1" si="95"/>
        <v>29.829466666666661</v>
      </c>
      <c r="G1104" s="4">
        <f t="shared" ca="1" si="95"/>
        <v>28.088725000000007</v>
      </c>
      <c r="H1104" s="4">
        <f t="shared" ca="1" si="95"/>
        <v>29.000666666666664</v>
      </c>
      <c r="I1104" s="4">
        <f t="shared" ca="1" si="95"/>
        <v>27.689383333333328</v>
      </c>
      <c r="J1104" s="4">
        <f t="shared" ca="1" si="95"/>
        <v>27.601066666666664</v>
      </c>
      <c r="K1104" s="4"/>
      <c r="L1104" s="5">
        <f t="shared" ref="L1104:Q1113" ca="1" si="96">SUM(OFFSET(L$569,($A1104-$A$1084)*12,0,12,1))</f>
        <v>336.06969999999995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4.4104999999999999</v>
      </c>
      <c r="P1104" s="5">
        <f t="shared" ca="1" si="96"/>
        <v>14.718800000000003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29.752049999999997</v>
      </c>
      <c r="C1105" s="4">
        <f t="shared" ca="1" si="95"/>
        <v>29.762483333333336</v>
      </c>
      <c r="D1105" s="4">
        <f t="shared" ca="1" si="95"/>
        <v>29.765299999999996</v>
      </c>
      <c r="E1105" s="4">
        <f t="shared" ca="1" si="95"/>
        <v>29.763008333333335</v>
      </c>
      <c r="F1105" s="4">
        <f t="shared" ca="1" si="95"/>
        <v>30.771441666666664</v>
      </c>
      <c r="G1105" s="4">
        <f t="shared" ca="1" si="95"/>
        <v>29.006924999999999</v>
      </c>
      <c r="H1105" s="4">
        <f t="shared" ca="1" si="95"/>
        <v>29.918875000000003</v>
      </c>
      <c r="I1105" s="4">
        <f t="shared" ca="1" si="95"/>
        <v>28.592424999999995</v>
      </c>
      <c r="J1105" s="4">
        <f t="shared" ca="1" si="95"/>
        <v>28.503658333333334</v>
      </c>
      <c r="K1105" s="4"/>
      <c r="L1105" s="5">
        <f t="shared" ca="1" si="96"/>
        <v>336.06969999999995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4.4104999999999999</v>
      </c>
      <c r="P1105" s="5">
        <f t="shared" ca="1" si="96"/>
        <v>14.718800000000003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30.724808333333328</v>
      </c>
      <c r="C1106" s="4">
        <f t="shared" ca="1" si="95"/>
        <v>30.735249999999997</v>
      </c>
      <c r="D1106" s="4">
        <f t="shared" ca="1" si="95"/>
        <v>30.738083333333332</v>
      </c>
      <c r="E1106" s="4">
        <f t="shared" ca="1" si="95"/>
        <v>30.735783333333334</v>
      </c>
      <c r="F1106" s="4">
        <f t="shared" ca="1" si="95"/>
        <v>31.744208333333333</v>
      </c>
      <c r="G1106" s="4">
        <f t="shared" ca="1" si="95"/>
        <v>29.95515833333333</v>
      </c>
      <c r="H1106" s="4">
        <f t="shared" ca="1" si="95"/>
        <v>30.867083333333337</v>
      </c>
      <c r="I1106" s="4">
        <f t="shared" ca="1" si="95"/>
        <v>29.525008333333332</v>
      </c>
      <c r="J1106" s="4">
        <f t="shared" ca="1" si="95"/>
        <v>29.435758333333336</v>
      </c>
      <c r="K1106" s="4"/>
      <c r="L1106" s="5">
        <f t="shared" ca="1" si="96"/>
        <v>336.95349999999996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4.4226000000000001</v>
      </c>
      <c r="P1106" s="5">
        <f t="shared" ca="1" si="96"/>
        <v>14.760600000000004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31.729391666666668</v>
      </c>
      <c r="C1107" s="4">
        <f t="shared" ca="1" si="95"/>
        <v>31.739833333333326</v>
      </c>
      <c r="D1107" s="4">
        <f t="shared" ca="1" si="95"/>
        <v>31.742666666666668</v>
      </c>
      <c r="E1107" s="4">
        <f t="shared" ca="1" si="95"/>
        <v>31.74036666666666</v>
      </c>
      <c r="F1107" s="4">
        <f t="shared" ca="1" si="95"/>
        <v>32.748775000000002</v>
      </c>
      <c r="G1107" s="4">
        <f t="shared" ca="1" si="95"/>
        <v>30.9344</v>
      </c>
      <c r="H1107" s="4">
        <f t="shared" ca="1" si="95"/>
        <v>31.846324999999997</v>
      </c>
      <c r="I1107" s="4">
        <f t="shared" ca="1" si="95"/>
        <v>30.488074999999998</v>
      </c>
      <c r="J1107" s="4">
        <f t="shared" ca="1" si="95"/>
        <v>30.398358333333331</v>
      </c>
      <c r="K1107" s="4"/>
      <c r="L1107" s="5">
        <f t="shared" ca="1" si="96"/>
        <v>336.06969999999995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4.4104999999999999</v>
      </c>
      <c r="P1107" s="5">
        <f t="shared" ca="1" si="96"/>
        <v>14.718800000000003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32.766825000000004</v>
      </c>
      <c r="C1108" s="4">
        <f t="shared" ca="1" si="95"/>
        <v>32.777266666666669</v>
      </c>
      <c r="D1108" s="4">
        <f t="shared" ca="1" si="95"/>
        <v>32.78009999999999</v>
      </c>
      <c r="E1108" s="4">
        <f t="shared" ca="1" si="95"/>
        <v>32.777800000000006</v>
      </c>
      <c r="F1108" s="4">
        <f t="shared" ca="1" si="95"/>
        <v>33.786216666666668</v>
      </c>
      <c r="G1108" s="4">
        <f t="shared" ca="1" si="95"/>
        <v>31.94564166666667</v>
      </c>
      <c r="H1108" s="4">
        <f t="shared" ca="1" si="95"/>
        <v>32.857591666666671</v>
      </c>
      <c r="I1108" s="4">
        <f t="shared" ca="1" si="95"/>
        <v>31.482650000000003</v>
      </c>
      <c r="J1108" s="4">
        <f t="shared" ca="1" si="95"/>
        <v>31.392425000000003</v>
      </c>
      <c r="K1108" s="4"/>
      <c r="L1108" s="5">
        <f t="shared" ca="1" si="96"/>
        <v>336.06969999999995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4.4104999999999999</v>
      </c>
      <c r="P1108" s="5">
        <f t="shared" ca="1" si="96"/>
        <v>14.718800000000003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33.838200000000008</v>
      </c>
      <c r="C1109" s="4">
        <f t="shared" ca="1" si="95"/>
        <v>33.848625000000006</v>
      </c>
      <c r="D1109" s="4">
        <f t="shared" ca="1" si="95"/>
        <v>33.851458333333333</v>
      </c>
      <c r="E1109" s="4">
        <f t="shared" ca="1" si="95"/>
        <v>33.849166666666669</v>
      </c>
      <c r="F1109" s="4">
        <f t="shared" ca="1" si="95"/>
        <v>34.85757499999999</v>
      </c>
      <c r="G1109" s="4">
        <f t="shared" ca="1" si="95"/>
        <v>32.989991666666668</v>
      </c>
      <c r="H1109" s="4">
        <f t="shared" ca="1" si="95"/>
        <v>33.901933333333339</v>
      </c>
      <c r="I1109" s="4">
        <f t="shared" ca="1" si="95"/>
        <v>32.509741666666663</v>
      </c>
      <c r="J1109" s="4">
        <f t="shared" ca="1" si="95"/>
        <v>32.419000000000004</v>
      </c>
      <c r="K1109" s="4"/>
      <c r="L1109" s="5">
        <f t="shared" ca="1" si="96"/>
        <v>336.06969999999995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4.4104999999999999</v>
      </c>
      <c r="P1109" s="5">
        <f t="shared" ca="1" si="96"/>
        <v>14.718800000000003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34.944591666666661</v>
      </c>
      <c r="C1110" s="4">
        <f t="shared" ca="1" si="95"/>
        <v>34.955024999999999</v>
      </c>
      <c r="D1110" s="4">
        <f t="shared" ca="1" si="95"/>
        <v>34.957850000000001</v>
      </c>
      <c r="E1110" s="4">
        <f t="shared" ca="1" si="95"/>
        <v>34.95556666666667</v>
      </c>
      <c r="F1110" s="4">
        <f t="shared" ca="1" si="95"/>
        <v>35.963958333333331</v>
      </c>
      <c r="G1110" s="4">
        <f t="shared" ca="1" si="95"/>
        <v>34.068466666666666</v>
      </c>
      <c r="H1110" s="4">
        <f t="shared" ca="1" si="95"/>
        <v>34.980416666666677</v>
      </c>
      <c r="I1110" s="4">
        <f t="shared" ca="1" si="95"/>
        <v>33.570408333333326</v>
      </c>
      <c r="J1110" s="4">
        <f t="shared" ca="1" si="95"/>
        <v>33.479149999999997</v>
      </c>
      <c r="K1110" s="4"/>
      <c r="L1110" s="5">
        <f t="shared" ca="1" si="96"/>
        <v>336.95349999999996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4.4226000000000001</v>
      </c>
      <c r="P1110" s="5">
        <f t="shared" ca="1" si="96"/>
        <v>14.760600000000004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36.087174999999995</v>
      </c>
      <c r="C1111" s="4">
        <f t="shared" ca="1" si="95"/>
        <v>36.09761666666666</v>
      </c>
      <c r="D1111" s="4">
        <f t="shared" ca="1" si="95"/>
        <v>36.100441666666661</v>
      </c>
      <c r="E1111" s="4">
        <f t="shared" ca="1" si="95"/>
        <v>36.098150000000011</v>
      </c>
      <c r="F1111" s="4">
        <f t="shared" ca="1" si="95"/>
        <v>37.106566666666666</v>
      </c>
      <c r="G1111" s="4">
        <f t="shared" ca="1" si="95"/>
        <v>35.182241666666663</v>
      </c>
      <c r="H1111" s="4">
        <f t="shared" ca="1" si="95"/>
        <v>36.094175</v>
      </c>
      <c r="I1111" s="4">
        <f t="shared" ca="1" si="95"/>
        <v>34.665800000000004</v>
      </c>
      <c r="J1111" s="4">
        <f t="shared" ca="1" si="95"/>
        <v>34.573983333333331</v>
      </c>
      <c r="K1111" s="4"/>
      <c r="L1111" s="5">
        <f t="shared" ca="1" si="96"/>
        <v>336.06969999999995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4.4104999999999999</v>
      </c>
      <c r="P1111" s="5">
        <f t="shared" ca="1" si="96"/>
        <v>14.718800000000003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37.267133333333327</v>
      </c>
      <c r="C1112" s="4">
        <f t="shared" ca="1" si="95"/>
        <v>37.277566666666665</v>
      </c>
      <c r="D1112" s="4">
        <f t="shared" ca="1" si="95"/>
        <v>37.2804</v>
      </c>
      <c r="E1112" s="4">
        <f t="shared" ca="1" si="95"/>
        <v>37.278108333333329</v>
      </c>
      <c r="F1112" s="4">
        <f t="shared" ca="1" si="95"/>
        <v>38.286508333333337</v>
      </c>
      <c r="G1112" s="4">
        <f t="shared" ca="1" si="95"/>
        <v>36.332408333333326</v>
      </c>
      <c r="H1112" s="4">
        <f t="shared" ca="1" si="95"/>
        <v>37.244350000000004</v>
      </c>
      <c r="I1112" s="4">
        <f t="shared" ca="1" si="95"/>
        <v>35.796983333333337</v>
      </c>
      <c r="J1112" s="4">
        <f t="shared" ca="1" si="95"/>
        <v>35.704608333333333</v>
      </c>
      <c r="K1112" s="4"/>
      <c r="L1112" s="5">
        <f t="shared" ca="1" si="96"/>
        <v>336.06969999999995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4.4104999999999999</v>
      </c>
      <c r="P1112" s="5">
        <f t="shared" ca="1" si="96"/>
        <v>14.718800000000003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38.485675000000001</v>
      </c>
      <c r="C1113" s="4">
        <f t="shared" ca="1" si="95"/>
        <v>38.496100000000006</v>
      </c>
      <c r="D1113" s="4">
        <f t="shared" ca="1" si="95"/>
        <v>38.498933333333333</v>
      </c>
      <c r="E1113" s="4">
        <f t="shared" ca="1" si="95"/>
        <v>38.496641666666669</v>
      </c>
      <c r="F1113" s="4">
        <f t="shared" ca="1" si="95"/>
        <v>39.505050000000004</v>
      </c>
      <c r="G1113" s="4">
        <f t="shared" ca="1" si="95"/>
        <v>37.520200000000003</v>
      </c>
      <c r="H1113" s="4">
        <f t="shared" ca="1" si="95"/>
        <v>38.432158333333334</v>
      </c>
      <c r="I1113" s="4">
        <f t="shared" ca="1" si="95"/>
        <v>36.965175000000002</v>
      </c>
      <c r="J1113" s="4">
        <f t="shared" ca="1" si="95"/>
        <v>36.872216666666674</v>
      </c>
      <c r="K1113" s="4"/>
      <c r="L1113" s="5">
        <f t="shared" ca="1" si="96"/>
        <v>336.06969999999995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4.4104999999999999</v>
      </c>
      <c r="P1113" s="5">
        <f t="shared" ca="1" si="96"/>
        <v>14.718800000000003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39.744050000000009</v>
      </c>
      <c r="C1114" s="4">
        <f t="shared" ca="1" si="97"/>
        <v>39.754491666666667</v>
      </c>
      <c r="D1114" s="4">
        <f t="shared" ca="1" si="97"/>
        <v>39.757324999999994</v>
      </c>
      <c r="E1114" s="4">
        <f t="shared" ca="1" si="97"/>
        <v>39.75503333333333</v>
      </c>
      <c r="F1114" s="4">
        <f t="shared" ca="1" si="97"/>
        <v>40.763449999999999</v>
      </c>
      <c r="G1114" s="4">
        <f t="shared" ca="1" si="97"/>
        <v>38.746833333333335</v>
      </c>
      <c r="H1114" s="4">
        <f t="shared" ca="1" si="97"/>
        <v>39.658799999999999</v>
      </c>
      <c r="I1114" s="4">
        <f t="shared" ca="1" si="97"/>
        <v>38.171566666666664</v>
      </c>
      <c r="J1114" s="4">
        <f t="shared" ca="1" si="97"/>
        <v>38.077991666666669</v>
      </c>
      <c r="K1114" s="4"/>
      <c r="L1114" s="5">
        <f t="shared" ref="L1114:Q1122" ca="1" si="98">SUM(OFFSET(L$569,($A1114-$A$1084)*12,0,12,1))</f>
        <v>336.95349999999996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4.4226000000000001</v>
      </c>
      <c r="P1114" s="5">
        <f t="shared" ca="1" si="98"/>
        <v>14.760600000000004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41.043591666666664</v>
      </c>
      <c r="C1115" s="4">
        <f t="shared" ca="1" si="97"/>
        <v>41.054033333333329</v>
      </c>
      <c r="D1115" s="4">
        <f t="shared" ca="1" si="97"/>
        <v>41.056874999999998</v>
      </c>
      <c r="E1115" s="4">
        <f t="shared" ca="1" si="97"/>
        <v>41.054583333333333</v>
      </c>
      <c r="F1115" s="4">
        <f t="shared" ca="1" si="97"/>
        <v>42.062991666666662</v>
      </c>
      <c r="G1115" s="4">
        <f t="shared" ca="1" si="97"/>
        <v>40.01360833333333</v>
      </c>
      <c r="H1115" s="4">
        <f t="shared" ca="1" si="97"/>
        <v>40.925541666666675</v>
      </c>
      <c r="I1115" s="4">
        <f t="shared" ca="1" si="97"/>
        <v>39.417416666666668</v>
      </c>
      <c r="J1115" s="4">
        <f t="shared" ca="1" si="97"/>
        <v>39.323225000000001</v>
      </c>
      <c r="K1115" s="4"/>
      <c r="L1115" s="5">
        <f t="shared" ca="1" si="98"/>
        <v>336.06969999999995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4.4104999999999999</v>
      </c>
      <c r="P1115" s="5">
        <f t="shared" ca="1" si="98"/>
        <v>14.718800000000003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42.385650000000005</v>
      </c>
      <c r="C1116" s="4">
        <f t="shared" ca="1" si="97"/>
        <v>42.396091666666656</v>
      </c>
      <c r="D1116" s="4">
        <f t="shared" ca="1" si="97"/>
        <v>42.398933333333332</v>
      </c>
      <c r="E1116" s="4">
        <f t="shared" ca="1" si="97"/>
        <v>42.396641666666667</v>
      </c>
      <c r="F1116" s="4">
        <f t="shared" ca="1" si="97"/>
        <v>43.405033333333336</v>
      </c>
      <c r="G1116" s="4">
        <f t="shared" ca="1" si="97"/>
        <v>41.32179166666667</v>
      </c>
      <c r="H1116" s="4">
        <f t="shared" ca="1" si="97"/>
        <v>42.233733333333333</v>
      </c>
      <c r="I1116" s="4">
        <f t="shared" ca="1" si="97"/>
        <v>40.704000000000008</v>
      </c>
      <c r="J1116" s="4">
        <f t="shared" ca="1" si="97"/>
        <v>40.60916666666666</v>
      </c>
      <c r="K1116" s="4"/>
      <c r="L1116" s="5">
        <f t="shared" ca="1" si="98"/>
        <v>336.06969999999995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4.4104999999999999</v>
      </c>
      <c r="P1116" s="5">
        <f t="shared" ca="1" si="98"/>
        <v>14.718800000000003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43.771583333333332</v>
      </c>
      <c r="C1117" s="4">
        <f t="shared" ca="1" si="97"/>
        <v>43.782025000000004</v>
      </c>
      <c r="D1117" s="4">
        <f t="shared" ca="1" si="97"/>
        <v>43.784850000000006</v>
      </c>
      <c r="E1117" s="4">
        <f t="shared" ca="1" si="97"/>
        <v>43.782566666666668</v>
      </c>
      <c r="F1117" s="4">
        <f t="shared" ca="1" si="97"/>
        <v>44.790974999999996</v>
      </c>
      <c r="G1117" s="4">
        <f t="shared" ca="1" si="97"/>
        <v>42.672758333333341</v>
      </c>
      <c r="H1117" s="4">
        <f t="shared" ca="1" si="97"/>
        <v>43.584699999999998</v>
      </c>
      <c r="I1117" s="4">
        <f t="shared" ca="1" si="97"/>
        <v>42.032666666666671</v>
      </c>
      <c r="J1117" s="4">
        <f t="shared" ca="1" si="97"/>
        <v>41.93716666666667</v>
      </c>
      <c r="K1117" s="4"/>
      <c r="L1117" s="5">
        <f t="shared" ca="1" si="98"/>
        <v>336.06969999999995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4.4104999999999999</v>
      </c>
      <c r="P1117" s="5">
        <f t="shared" ca="1" si="98"/>
        <v>14.718800000000003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45.202841666666671</v>
      </c>
      <c r="C1118" s="4">
        <f t="shared" ca="1" si="97"/>
        <v>45.213291666666663</v>
      </c>
      <c r="D1118" s="4">
        <f t="shared" ca="1" si="97"/>
        <v>45.216108333333331</v>
      </c>
      <c r="E1118" s="4">
        <f t="shared" ca="1" si="97"/>
        <v>45.213816666666666</v>
      </c>
      <c r="F1118" s="4">
        <f t="shared" ca="1" si="97"/>
        <v>46.222225000000002</v>
      </c>
      <c r="G1118" s="4">
        <f t="shared" ca="1" si="97"/>
        <v>44.067908333333342</v>
      </c>
      <c r="H1118" s="4">
        <f t="shared" ca="1" si="97"/>
        <v>44.979849999999999</v>
      </c>
      <c r="I1118" s="4">
        <f t="shared" ca="1" si="97"/>
        <v>43.404791666666675</v>
      </c>
      <c r="J1118" s="4">
        <f t="shared" ca="1" si="97"/>
        <v>43.308600000000006</v>
      </c>
      <c r="K1118" s="4"/>
      <c r="L1118" s="5">
        <f t="shared" ca="1" si="98"/>
        <v>336.95349999999996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4.4226000000000001</v>
      </c>
      <c r="P1118" s="5">
        <f t="shared" ca="1" si="98"/>
        <v>14.760600000000004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46.680908333333342</v>
      </c>
      <c r="C1119" s="4">
        <f t="shared" ca="1" si="97"/>
        <v>46.69133333333334</v>
      </c>
      <c r="D1119" s="4">
        <f t="shared" ca="1" si="97"/>
        <v>46.694175000000001</v>
      </c>
      <c r="E1119" s="4">
        <f t="shared" ca="1" si="97"/>
        <v>46.691874999999989</v>
      </c>
      <c r="F1119" s="4">
        <f t="shared" ca="1" si="97"/>
        <v>47.700299999999991</v>
      </c>
      <c r="G1119" s="4">
        <f t="shared" ca="1" si="97"/>
        <v>45.508699999999997</v>
      </c>
      <c r="H1119" s="4">
        <f t="shared" ca="1" si="97"/>
        <v>46.420624999999994</v>
      </c>
      <c r="I1119" s="4">
        <f t="shared" ca="1" si="97"/>
        <v>44.821783333333336</v>
      </c>
      <c r="J1119" s="4">
        <f t="shared" ca="1" si="97"/>
        <v>44.724899999999998</v>
      </c>
      <c r="K1119" s="4"/>
      <c r="L1119" s="5">
        <f t="shared" ca="1" si="98"/>
        <v>336.06969999999995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4.4104999999999999</v>
      </c>
      <c r="P1119" s="5">
        <f t="shared" ca="1" si="98"/>
        <v>14.718800000000003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48.207300000000004</v>
      </c>
      <c r="C1120" s="4">
        <f t="shared" ca="1" si="97"/>
        <v>48.217750000000002</v>
      </c>
      <c r="D1120" s="4">
        <f t="shared" ca="1" si="97"/>
        <v>48.220583333333337</v>
      </c>
      <c r="E1120" s="4">
        <f t="shared" ca="1" si="97"/>
        <v>48.218283333333325</v>
      </c>
      <c r="F1120" s="4">
        <f t="shared" ca="1" si="97"/>
        <v>49.226691666666675</v>
      </c>
      <c r="G1120" s="4">
        <f t="shared" ca="1" si="97"/>
        <v>46.996583333333326</v>
      </c>
      <c r="H1120" s="4">
        <f t="shared" ca="1" si="97"/>
        <v>47.908524999999997</v>
      </c>
      <c r="I1120" s="4">
        <f t="shared" ca="1" si="97"/>
        <v>46.285124999999994</v>
      </c>
      <c r="J1120" s="4">
        <f t="shared" ca="1" si="97"/>
        <v>46.187491666666666</v>
      </c>
      <c r="K1120" s="4"/>
      <c r="L1120" s="5">
        <f t="shared" ca="1" si="98"/>
        <v>336.06969999999995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4.4104999999999999</v>
      </c>
      <c r="P1120" s="5">
        <f t="shared" ca="1" si="98"/>
        <v>14.718800000000003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49.783641666666661</v>
      </c>
      <c r="C1121" s="4">
        <f t="shared" ca="1" si="97"/>
        <v>49.794083333333333</v>
      </c>
      <c r="D1121" s="4">
        <f t="shared" ca="1" si="97"/>
        <v>49.796908333333334</v>
      </c>
      <c r="E1121" s="4">
        <f t="shared" ca="1" si="97"/>
        <v>49.794624999999996</v>
      </c>
      <c r="F1121" s="4">
        <f t="shared" ca="1" si="97"/>
        <v>50.803033333333325</v>
      </c>
      <c r="G1121" s="4">
        <f t="shared" ca="1" si="97"/>
        <v>48.533141666666666</v>
      </c>
      <c r="H1121" s="4">
        <f t="shared" ca="1" si="97"/>
        <v>49.445083333333343</v>
      </c>
      <c r="I1121" s="4">
        <f t="shared" ca="1" si="97"/>
        <v>47.796291666666662</v>
      </c>
      <c r="J1121" s="4">
        <f t="shared" ca="1" si="97"/>
        <v>47.697933333333332</v>
      </c>
      <c r="K1121" s="4"/>
      <c r="L1121" s="5">
        <f t="shared" ca="1" si="98"/>
        <v>336.06969999999995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4.4104999999999999</v>
      </c>
      <c r="P1121" s="5">
        <f t="shared" ca="1" si="98"/>
        <v>14.718800000000003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51.411516666666664</v>
      </c>
      <c r="C1122" s="4">
        <f t="shared" ca="1" si="97"/>
        <v>51.421950000000002</v>
      </c>
      <c r="D1122" s="4">
        <f t="shared" ca="1" si="97"/>
        <v>51.42477499999999</v>
      </c>
      <c r="E1122" s="4">
        <f t="shared" ca="1" si="97"/>
        <v>51.422491666666666</v>
      </c>
      <c r="F1122" s="4">
        <f t="shared" ca="1" si="97"/>
        <v>52.430891666666668</v>
      </c>
      <c r="G1122" s="4">
        <f t="shared" ca="1" si="97"/>
        <v>50.119949999999996</v>
      </c>
      <c r="H1122" s="4">
        <f t="shared" ca="1" si="97"/>
        <v>51.031875000000007</v>
      </c>
      <c r="I1122" s="4">
        <f t="shared" ca="1" si="97"/>
        <v>49.35692499999999</v>
      </c>
      <c r="J1122" s="4">
        <f t="shared" ca="1" si="97"/>
        <v>49.257749999999994</v>
      </c>
      <c r="K1122" s="4"/>
      <c r="L1122" s="5">
        <f t="shared" ca="1" si="98"/>
        <v>336.06969999999995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4.4104999999999999</v>
      </c>
      <c r="P1122" s="5">
        <f t="shared" ca="1" si="98"/>
        <v>14.718800000000003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4</xdr:col>
                    <xdr:colOff>533400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142875</xdr:rowOff>
                  </from>
                  <to>
                    <xdr:col>6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activeCell="G13" sqref="G13"/>
      <selection pane="topRight" activeCell="G13" sqref="G13"/>
      <selection pane="bottomLeft" activeCell="G13" sqref="G13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69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829.71400000000006</v>
      </c>
      <c r="F32" s="32">
        <v>1239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812.32899999999995</v>
      </c>
      <c r="F37" s="32">
        <v>1274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780.7254999999999</v>
      </c>
      <c r="F1039" s="35">
        <f t="shared" si="9"/>
        <v>1216.5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activeCell="G13" sqref="G13"/>
      <selection pane="topRight" activeCell="G13" sqref="G13"/>
      <selection pane="bottomLeft" activeCell="G13" sqref="G13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69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1-0.269</f>
        <v>0.73099999999999998</v>
      </c>
      <c r="D13" s="56" t="s">
        <v>23</v>
      </c>
      <c r="E13" s="55">
        <f>1+0.269</f>
        <v>1.2690000000000001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21" customHeight="1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5.3484 * CHOOSE(CONTROL!$C$9, $C$13, 100%, $E$13) + CHOOSE(CONTROL!$C$28, 0.0003, 0)</f>
        <v>5.3487</v>
      </c>
      <c r="C17" s="4">
        <f>5.0359 * CHOOSE(CONTROL!$C$9, $C$13, 100%, $E$13) + CHOOSE(CONTROL!$C$28, 0.0003, 0)</f>
        <v>5.0362</v>
      </c>
      <c r="D17" s="4">
        <f>9.8123 * CHOOSE(CONTROL!$C$9, $C$13, 100%, $E$13) + CHOOSE(CONTROL!$C$28, 0, 0)</f>
        <v>9.8123000000000005</v>
      </c>
      <c r="E17" s="4">
        <f>34.74 * CHOOSE(CONTROL!$C$9, $C$13, 100%, $E$13) + CHOOSE(CONTROL!$C$28, 0, 0)</f>
        <v>34.74</v>
      </c>
    </row>
    <row r="18" spans="1:5" ht="15">
      <c r="A18" s="13">
        <v>42401</v>
      </c>
      <c r="B18" s="4">
        <f>5.5922 * CHOOSE(CONTROL!$C$9, $C$13, 100%, $E$13) + CHOOSE(CONTROL!$C$28, 0.0003, 0)</f>
        <v>5.5925000000000002</v>
      </c>
      <c r="C18" s="4">
        <f>5.2797 * CHOOSE(CONTROL!$C$9, $C$13, 100%, $E$13) + CHOOSE(CONTROL!$C$28, 0.0003, 0)</f>
        <v>5.28</v>
      </c>
      <c r="D18" s="4">
        <f>9.4838 * CHOOSE(CONTROL!$C$9, $C$13, 100%, $E$13) + CHOOSE(CONTROL!$C$28, 0, 0)</f>
        <v>9.4838000000000005</v>
      </c>
      <c r="E18" s="4">
        <f>26.55 * CHOOSE(CONTROL!$C$9, $C$13, 100%, $E$13) + CHOOSE(CONTROL!$C$28, 0, 0)</f>
        <v>26.55</v>
      </c>
    </row>
    <row r="19" spans="1:5" ht="15">
      <c r="A19" s="13">
        <v>42430</v>
      </c>
      <c r="B19" s="4">
        <f>6.0109 * CHOOSE(CONTROL!$C$9, $C$13, 100%, $E$13) + CHOOSE(CONTROL!$C$28, 0.0003, 0)</f>
        <v>6.0112000000000005</v>
      </c>
      <c r="C19" s="4">
        <f>5.6984 * CHOOSE(CONTROL!$C$9, $C$13, 100%, $E$13) + CHOOSE(CONTROL!$C$28, 0.0003, 0)</f>
        <v>5.6987000000000005</v>
      </c>
      <c r="D19" s="4">
        <f>9.6343 * CHOOSE(CONTROL!$C$9, $C$13, 100%, $E$13) + CHOOSE(CONTROL!$C$28, 0, 0)</f>
        <v>9.6342999999999996</v>
      </c>
      <c r="E19" s="4">
        <f>31.48 * CHOOSE(CONTROL!$C$9, $C$13, 100%, $E$13) + CHOOSE(CONTROL!$C$28, 0, 0)</f>
        <v>31.48</v>
      </c>
    </row>
    <row r="20" spans="1:5" ht="15">
      <c r="A20" s="13">
        <v>42461</v>
      </c>
      <c r="B20" s="4">
        <f>5.8391 * CHOOSE(CONTROL!$C$9, $C$13, 100%, $E$13) + CHOOSE(CONTROL!$C$28, 0.0003, 0)</f>
        <v>5.8394000000000004</v>
      </c>
      <c r="C20" s="4">
        <f>5.5266 * CHOOSE(CONTROL!$C$9, $C$13, 100%, $E$13) + CHOOSE(CONTROL!$C$28, 0.0003, 0)</f>
        <v>5.5269000000000004</v>
      </c>
      <c r="D20" s="4">
        <f>10.4181 * CHOOSE(CONTROL!$C$9, $C$13, 100%, $E$13) + CHOOSE(CONTROL!$C$28, 0, 0)</f>
        <v>10.418100000000001</v>
      </c>
      <c r="E20" s="4">
        <f>39.91 * CHOOSE(CONTROL!$C$9, $C$13, 100%, $E$13) + CHOOSE(CONTROL!$C$28, 0, 0)</f>
        <v>39.909999999999997</v>
      </c>
    </row>
    <row r="21" spans="1:5" ht="15">
      <c r="A21" s="13">
        <v>42491</v>
      </c>
      <c r="B21" s="4">
        <f>6.2188 * CHOOSE(CONTROL!$C$9, $C$13, 100%, $E$13) + CHOOSE(CONTROL!$C$28, 0.0294, 0)</f>
        <v>6.2481999999999998</v>
      </c>
      <c r="C21" s="4">
        <f>5.9062 * CHOOSE(CONTROL!$C$9, $C$13, 100%, $E$13) + CHOOSE(CONTROL!$C$28, 0.0294, 0)</f>
        <v>5.9356</v>
      </c>
      <c r="D21" s="4">
        <f>9.7273 * CHOOSE(CONTROL!$C$9, $C$13, 100%, $E$13) + CHOOSE(CONTROL!$C$28, 0, 0)</f>
        <v>9.7272999999999996</v>
      </c>
      <c r="E21" s="4">
        <f>35.7 * CHOOSE(CONTROL!$C$9, $C$13, 100%, $E$13) + CHOOSE(CONTROL!$C$28, 0, 0)</f>
        <v>35.700000000000003</v>
      </c>
    </row>
    <row r="22" spans="1:5" ht="15">
      <c r="A22" s="13">
        <v>42522</v>
      </c>
      <c r="B22" s="4">
        <f>6.3047 * CHOOSE(CONTROL!$C$9, $C$13, 100%, $E$13) + CHOOSE(CONTROL!$C$28, 0.0294, 0)</f>
        <v>6.3341000000000003</v>
      </c>
      <c r="C22" s="4">
        <f>5.9922 * CHOOSE(CONTROL!$C$9, $C$13, 100%, $E$13) + CHOOSE(CONTROL!$C$28, 0.0294, 0)</f>
        <v>6.0216000000000003</v>
      </c>
      <c r="D22" s="4">
        <f>9.8605 * CHOOSE(CONTROL!$C$9, $C$13, 100%, $E$13) + CHOOSE(CONTROL!$C$28, 0, 0)</f>
        <v>9.8605</v>
      </c>
      <c r="E22" s="4">
        <f>37.03 * CHOOSE(CONTROL!$C$9, $C$13, 100%, $E$13) + CHOOSE(CONTROL!$C$28, 0, 0)</f>
        <v>37.03</v>
      </c>
    </row>
    <row r="23" spans="1:5" ht="15">
      <c r="A23" s="13">
        <v>42552</v>
      </c>
      <c r="B23" s="4">
        <f>6.3984 * CHOOSE(CONTROL!$C$9, $C$13, 100%, $E$13) + CHOOSE(CONTROL!$C$28, 0.0294, 0)</f>
        <v>6.4277999999999995</v>
      </c>
      <c r="C23" s="4">
        <f>6.0859 * CHOOSE(CONTROL!$C$9, $C$13, 100%, $E$13) + CHOOSE(CONTROL!$C$28, 0.0294, 0)</f>
        <v>6.1152999999999995</v>
      </c>
      <c r="D23" s="4">
        <f>10.0097 * CHOOSE(CONTROL!$C$9, $C$13, 100%, $E$13) + CHOOSE(CONTROL!$C$28, 0, 0)</f>
        <v>10.0097</v>
      </c>
      <c r="E23" s="4">
        <f>37.97 * CHOOSE(CONTROL!$C$9, $C$13, 100%, $E$13) + CHOOSE(CONTROL!$C$28, 0, 0)</f>
        <v>37.97</v>
      </c>
    </row>
    <row r="24" spans="1:5" ht="15">
      <c r="A24" s="13">
        <v>42583</v>
      </c>
      <c r="B24" s="4">
        <f>6.4844 * CHOOSE(CONTROL!$C$9, $C$13, 100%, $E$13) + CHOOSE(CONTROL!$C$28, 0.0294, 0)</f>
        <v>6.5137999999999998</v>
      </c>
      <c r="C24" s="4">
        <f>6.1719 * CHOOSE(CONTROL!$C$9, $C$13, 100%, $E$13) + CHOOSE(CONTROL!$C$28, 0.0294, 0)</f>
        <v>6.2012999999999998</v>
      </c>
      <c r="D24" s="4">
        <f>10.1624 * CHOOSE(CONTROL!$C$9, $C$13, 100%, $E$13) + CHOOSE(CONTROL!$C$28, 0, 0)</f>
        <v>10.1624</v>
      </c>
      <c r="E24" s="4">
        <f>38.63 * CHOOSE(CONTROL!$C$9, $C$13, 100%, $E$13) + CHOOSE(CONTROL!$C$28, 0, 0)</f>
        <v>38.630000000000003</v>
      </c>
    </row>
    <row r="25" spans="1:5" ht="15">
      <c r="A25" s="13">
        <v>42614</v>
      </c>
      <c r="B25" s="4">
        <f>6.5703 * CHOOSE(CONTROL!$C$9, $C$13, 100%, $E$13) + CHOOSE(CONTROL!$C$28, 0.0294, 0)</f>
        <v>6.5996999999999995</v>
      </c>
      <c r="C25" s="4">
        <f>6.2578 * CHOOSE(CONTROL!$C$9, $C$13, 100%, $E$13) + CHOOSE(CONTROL!$C$28, 0.0294, 0)</f>
        <v>6.2871999999999995</v>
      </c>
      <c r="D25" s="4">
        <f>10.3317 * CHOOSE(CONTROL!$C$9, $C$13, 100%, $E$13) + CHOOSE(CONTROL!$C$28, 0, 0)</f>
        <v>10.3317</v>
      </c>
      <c r="E25" s="4">
        <f>39.17 * CHOOSE(CONTROL!$C$9, $C$13, 100%, $E$13) + CHOOSE(CONTROL!$C$28, 0, 0)</f>
        <v>39.17</v>
      </c>
    </row>
    <row r="26" spans="1:5" ht="15">
      <c r="A26" s="13">
        <v>42644</v>
      </c>
      <c r="B26" s="4">
        <f>6.6562 * CHOOSE(CONTROL!$C$9, $C$13, 100%, $E$13) + CHOOSE(CONTROL!$C$28, 0.0003, 0)</f>
        <v>6.6565000000000003</v>
      </c>
      <c r="C26" s="4">
        <f>6.3438 * CHOOSE(CONTROL!$C$9, $C$13, 100%, $E$13) + CHOOSE(CONTROL!$C$28, 0.0003, 0)</f>
        <v>6.3441000000000001</v>
      </c>
      <c r="D26" s="4">
        <f>10.4967 * CHOOSE(CONTROL!$C$9, $C$13, 100%, $E$13) + CHOOSE(CONTROL!$C$28, 0, 0)</f>
        <v>10.496700000000001</v>
      </c>
      <c r="E26" s="4">
        <f>39.6 * CHOOSE(CONTROL!$C$9, $C$13, 100%, $E$13) + CHOOSE(CONTROL!$C$28, 0, 0)</f>
        <v>39.6</v>
      </c>
    </row>
    <row r="27" spans="1:5" ht="15">
      <c r="A27" s="13">
        <v>42675</v>
      </c>
      <c r="B27" s="4">
        <f>6.7422 * CHOOSE(CONTROL!$C$9, $C$13, 100%, $E$13) + CHOOSE(CONTROL!$C$28, 0.0003, 0)</f>
        <v>6.7425000000000006</v>
      </c>
      <c r="C27" s="4">
        <f>6.4297 * CHOOSE(CONTROL!$C$9, $C$13, 100%, $E$13) + CHOOSE(CONTROL!$C$28, 0.0003, 0)</f>
        <v>6.4300000000000006</v>
      </c>
      <c r="D27" s="4">
        <f>10.653 * CHOOSE(CONTROL!$C$9, $C$13, 100%, $E$13) + CHOOSE(CONTROL!$C$28, 0, 0)</f>
        <v>10.653</v>
      </c>
      <c r="E27" s="4">
        <f>39.96 * CHOOSE(CONTROL!$C$9, $C$13, 100%, $E$13) + CHOOSE(CONTROL!$C$28, 0, 0)</f>
        <v>39.96</v>
      </c>
    </row>
    <row r="28" spans="1:5" ht="15">
      <c r="A28" s="13">
        <v>42705</v>
      </c>
      <c r="B28" s="4">
        <f>6.8281 * CHOOSE(CONTROL!$C$9, $C$13, 100%, $E$13) + CHOOSE(CONTROL!$C$28, 0.0003, 0)</f>
        <v>6.8284000000000002</v>
      </c>
      <c r="C28" s="4">
        <f>6.5156 * CHOOSE(CONTROL!$C$9, $C$13, 100%, $E$13) + CHOOSE(CONTROL!$C$28, 0.0003, 0)</f>
        <v>6.5159000000000002</v>
      </c>
      <c r="D28" s="4">
        <f>10.7942 * CHOOSE(CONTROL!$C$9, $C$13, 100%, $E$13) + CHOOSE(CONTROL!$C$28, 0, 0)</f>
        <v>10.7942</v>
      </c>
      <c r="E28" s="4">
        <f>40.27 * CHOOSE(CONTROL!$C$9, $C$13, 100%, $E$13) + CHOOSE(CONTROL!$C$28, 0, 0)</f>
        <v>40.270000000000003</v>
      </c>
    </row>
    <row r="29" spans="1:5" ht="15">
      <c r="A29" s="13">
        <v>42736</v>
      </c>
      <c r="B29" s="4">
        <f>6.9453 * CHOOSE(CONTROL!$C$9, $C$13, 100%, $E$13) + CHOOSE(CONTROL!$C$28, 0.0003, 0)</f>
        <v>6.9455999999999998</v>
      </c>
      <c r="C29" s="4">
        <f>6.6328 * CHOOSE(CONTROL!$C$9, $C$13, 100%, $E$13) + CHOOSE(CONTROL!$C$28, 0.0003, 0)</f>
        <v>6.6330999999999998</v>
      </c>
      <c r="D29" s="4">
        <f>10.9224 * CHOOSE(CONTROL!$C$9, $C$13, 100%, $E$13) + CHOOSE(CONTROL!$C$28, 0, 0)</f>
        <v>10.9224</v>
      </c>
      <c r="E29" s="4">
        <f>40.55 * CHOOSE(CONTROL!$C$9, $C$13, 100%, $E$13) + CHOOSE(CONTROL!$C$28, 0, 0)</f>
        <v>40.549999999999997</v>
      </c>
    </row>
    <row r="30" spans="1:5" ht="15">
      <c r="A30" s="13">
        <v>42767</v>
      </c>
      <c r="B30" s="4">
        <f>7.0078 * CHOOSE(CONTROL!$C$9, $C$13, 100%, $E$13) + CHOOSE(CONTROL!$C$28, 0.0003, 0)</f>
        <v>7.0080999999999998</v>
      </c>
      <c r="C30" s="4">
        <f>6.6953 * CHOOSE(CONTROL!$C$9, $C$13, 100%, $E$13) + CHOOSE(CONTROL!$C$28, 0.0003, 0)</f>
        <v>6.6955999999999998</v>
      </c>
      <c r="D30" s="4">
        <f>11.019 * CHOOSE(CONTROL!$C$9, $C$13, 100%, $E$13) + CHOOSE(CONTROL!$C$28, 0, 0)</f>
        <v>11.019</v>
      </c>
      <c r="E30" s="4">
        <f>40.82 * CHOOSE(CONTROL!$C$9, $C$13, 100%, $E$13) + CHOOSE(CONTROL!$C$28, 0, 0)</f>
        <v>40.82</v>
      </c>
    </row>
    <row r="31" spans="1:5" ht="15">
      <c r="A31" s="13">
        <v>42795</v>
      </c>
      <c r="B31" s="4">
        <f>7.0703 * CHOOSE(CONTROL!$C$9, $C$13, 100%, $E$13) + CHOOSE(CONTROL!$C$28, 0.0003, 0)</f>
        <v>7.0705999999999998</v>
      </c>
      <c r="C31" s="4">
        <f>6.7578 * CHOOSE(CONTROL!$C$9, $C$13, 100%, $E$13) + CHOOSE(CONTROL!$C$28, 0.0003, 0)</f>
        <v>6.7580999999999998</v>
      </c>
      <c r="D31" s="4">
        <f>11.073 * CHOOSE(CONTROL!$C$9, $C$13, 100%, $E$13) + CHOOSE(CONTROL!$C$28, 0, 0)</f>
        <v>11.073</v>
      </c>
      <c r="E31" s="4">
        <f>41.1 * CHOOSE(CONTROL!$C$9, $C$13, 100%, $E$13) + CHOOSE(CONTROL!$C$28, 0, 0)</f>
        <v>41.1</v>
      </c>
    </row>
    <row r="32" spans="1:5" ht="15">
      <c r="A32" s="13">
        <v>42826</v>
      </c>
      <c r="B32" s="4">
        <f>7.1328 * CHOOSE(CONTROL!$C$9, $C$13, 100%, $E$13) + CHOOSE(CONTROL!$C$28, 0.0003, 0)</f>
        <v>7.1330999999999998</v>
      </c>
      <c r="C32" s="4">
        <f>6.8203 * CHOOSE(CONTROL!$C$9, $C$13, 100%, $E$13) + CHOOSE(CONTROL!$C$28, 0.0003, 0)</f>
        <v>6.8205999999999998</v>
      </c>
      <c r="D32" s="4">
        <f>11.0824 * CHOOSE(CONTROL!$C$9, $C$13, 100%, $E$13) + CHOOSE(CONTROL!$C$28, 0, 0)</f>
        <v>11.0824</v>
      </c>
      <c r="E32" s="4">
        <f>41.37 * CHOOSE(CONTROL!$C$9, $C$13, 100%, $E$13) + CHOOSE(CONTROL!$C$28, 0, 0)</f>
        <v>41.37</v>
      </c>
    </row>
    <row r="33" spans="1:5" ht="15">
      <c r="A33" s="13">
        <v>42856</v>
      </c>
      <c r="B33" s="4">
        <f>7.1875 * CHOOSE(CONTROL!$C$9, $C$13, 100%, $E$13) + CHOOSE(CONTROL!$C$28, 0.0294, 0)</f>
        <v>7.2168999999999999</v>
      </c>
      <c r="C33" s="4">
        <f>6.875 * CHOOSE(CONTROL!$C$9, $C$13, 100%, $E$13) + CHOOSE(CONTROL!$C$28, 0.0294, 0)</f>
        <v>6.9043999999999999</v>
      </c>
      <c r="D33" s="4">
        <f>11.122 * CHOOSE(CONTROL!$C$9, $C$13, 100%, $E$13) + CHOOSE(CONTROL!$C$28, 0, 0)</f>
        <v>11.122</v>
      </c>
      <c r="E33" s="4">
        <f>41.64 * CHOOSE(CONTROL!$C$9, $C$13, 100%, $E$13) + CHOOSE(CONTROL!$C$28, 0, 0)</f>
        <v>41.64</v>
      </c>
    </row>
    <row r="34" spans="1:5" ht="15">
      <c r="A34" s="13">
        <v>42887</v>
      </c>
      <c r="B34" s="4">
        <f>7.2422 * CHOOSE(CONTROL!$C$9, $C$13, 100%, $E$13) + CHOOSE(CONTROL!$C$28, 0.0294, 0)</f>
        <v>7.2716000000000003</v>
      </c>
      <c r="C34" s="4">
        <f>6.9297 * CHOOSE(CONTROL!$C$9, $C$13, 100%, $E$13) + CHOOSE(CONTROL!$C$28, 0.0294, 0)</f>
        <v>6.9591000000000003</v>
      </c>
      <c r="D34" s="4">
        <f>11.1688 * CHOOSE(CONTROL!$C$9, $C$13, 100%, $E$13) + CHOOSE(CONTROL!$C$28, 0, 0)</f>
        <v>11.168799999999999</v>
      </c>
      <c r="E34" s="4">
        <f>41.9 * CHOOSE(CONTROL!$C$9, $C$13, 100%, $E$13) + CHOOSE(CONTROL!$C$28, 0, 0)</f>
        <v>41.9</v>
      </c>
    </row>
    <row r="35" spans="1:5" ht="15">
      <c r="A35" s="13">
        <v>42917</v>
      </c>
      <c r="B35" s="4">
        <f>7.2969 * CHOOSE(CONTROL!$C$9, $C$13, 100%, $E$13) + CHOOSE(CONTROL!$C$28, 0.0294, 0)</f>
        <v>7.3262999999999998</v>
      </c>
      <c r="C35" s="4">
        <f>6.9844 * CHOOSE(CONTROL!$C$9, $C$13, 100%, $E$13) + CHOOSE(CONTROL!$C$28, 0.0294, 0)</f>
        <v>7.0137999999999998</v>
      </c>
      <c r="D35" s="4">
        <f>11.2344 * CHOOSE(CONTROL!$C$9, $C$13, 100%, $E$13) + CHOOSE(CONTROL!$C$28, 0, 0)</f>
        <v>11.234400000000001</v>
      </c>
      <c r="E35" s="4">
        <f>42.11 * CHOOSE(CONTROL!$C$9, $C$13, 100%, $E$13) + CHOOSE(CONTROL!$C$28, 0, 0)</f>
        <v>42.11</v>
      </c>
    </row>
    <row r="36" spans="1:5" ht="15">
      <c r="A36" s="13">
        <v>42948</v>
      </c>
      <c r="B36" s="4">
        <f>7.3516 * CHOOSE(CONTROL!$C$9, $C$13, 100%, $E$13) + CHOOSE(CONTROL!$C$28, 0.0294, 0)</f>
        <v>7.3810000000000002</v>
      </c>
      <c r="C36" s="4">
        <f>7.0391 * CHOOSE(CONTROL!$C$9, $C$13, 100%, $E$13) + CHOOSE(CONTROL!$C$28, 0.0294, 0)</f>
        <v>7.0685000000000002</v>
      </c>
      <c r="D36" s="4">
        <f>11.3129 * CHOOSE(CONTROL!$C$9, $C$13, 100%, $E$13) + CHOOSE(CONTROL!$C$28, 0, 0)</f>
        <v>11.312900000000001</v>
      </c>
      <c r="E36" s="4">
        <f>42.32 * CHOOSE(CONTROL!$C$9, $C$13, 100%, $E$13) + CHOOSE(CONTROL!$C$28, 0, 0)</f>
        <v>42.32</v>
      </c>
    </row>
    <row r="37" spans="1:5" ht="15">
      <c r="A37" s="13">
        <v>42979</v>
      </c>
      <c r="B37" s="4">
        <f>7.3984 * CHOOSE(CONTROL!$C$9, $C$13, 100%, $E$13) + CHOOSE(CONTROL!$C$28, 0.0294, 0)</f>
        <v>7.4277999999999995</v>
      </c>
      <c r="C37" s="4">
        <f>7.0859 * CHOOSE(CONTROL!$C$9, $C$13, 100%, $E$13) + CHOOSE(CONTROL!$C$28, 0.0294, 0)</f>
        <v>7.1152999999999995</v>
      </c>
      <c r="D37" s="4">
        <f>11.4109 * CHOOSE(CONTROL!$C$9, $C$13, 100%, $E$13) + CHOOSE(CONTROL!$C$28, 0, 0)</f>
        <v>11.4109</v>
      </c>
      <c r="E37" s="4">
        <f>42.53 * CHOOSE(CONTROL!$C$9, $C$13, 100%, $E$13) + CHOOSE(CONTROL!$C$28, 0, 0)</f>
        <v>42.53</v>
      </c>
    </row>
    <row r="38" spans="1:5" ht="15">
      <c r="A38" s="13">
        <v>43009</v>
      </c>
      <c r="B38" s="4">
        <f>7.4453 * CHOOSE(CONTROL!$C$9, $C$13, 100%, $E$13) + CHOOSE(CONTROL!$C$28, 0.0003, 0)</f>
        <v>7.4455999999999998</v>
      </c>
      <c r="C38" s="4">
        <f>7.1328 * CHOOSE(CONTROL!$C$9, $C$13, 100%, $E$13) + CHOOSE(CONTROL!$C$28, 0.0003, 0)</f>
        <v>7.1330999999999998</v>
      </c>
      <c r="D38" s="4">
        <f>11.5074 * CHOOSE(CONTROL!$C$9, $C$13, 100%, $E$13) + CHOOSE(CONTROL!$C$28, 0, 0)</f>
        <v>11.507400000000001</v>
      </c>
      <c r="E38" s="4">
        <f>42.75 * CHOOSE(CONTROL!$C$9, $C$13, 100%, $E$13) + CHOOSE(CONTROL!$C$28, 0, 0)</f>
        <v>42.75</v>
      </c>
    </row>
    <row r="39" spans="1:5" ht="15">
      <c r="A39" s="13">
        <v>43040</v>
      </c>
      <c r="B39" s="4">
        <f>7.4922 * CHOOSE(CONTROL!$C$9, $C$13, 100%, $E$13) + CHOOSE(CONTROL!$C$28, 0.0003, 0)</f>
        <v>7.4925000000000006</v>
      </c>
      <c r="C39" s="4">
        <f>7.1797 * CHOOSE(CONTROL!$C$9, $C$13, 100%, $E$13) + CHOOSE(CONTROL!$C$28, 0.0003, 0)</f>
        <v>7.1800000000000006</v>
      </c>
      <c r="D39" s="4">
        <f>11.5924 * CHOOSE(CONTROL!$C$9, $C$13, 100%, $E$13) + CHOOSE(CONTROL!$C$28, 0, 0)</f>
        <v>11.5924</v>
      </c>
      <c r="E39" s="4">
        <f>42.98 * CHOOSE(CONTROL!$C$9, $C$13, 100%, $E$13) + CHOOSE(CONTROL!$C$28, 0, 0)</f>
        <v>42.98</v>
      </c>
    </row>
    <row r="40" spans="1:5" ht="15">
      <c r="A40" s="13">
        <v>43070</v>
      </c>
      <c r="B40" s="4">
        <f>7.5391 * CHOOSE(CONTROL!$C$9, $C$13, 100%, $E$13) + CHOOSE(CONTROL!$C$28, 0.0003, 0)</f>
        <v>7.5394000000000005</v>
      </c>
      <c r="C40" s="4">
        <f>7.2266 * CHOOSE(CONTROL!$C$9, $C$13, 100%, $E$13) + CHOOSE(CONTROL!$C$28, 0.0003, 0)</f>
        <v>7.2269000000000005</v>
      </c>
      <c r="D40" s="4">
        <f>11.6587 * CHOOSE(CONTROL!$C$9, $C$13, 100%, $E$13) + CHOOSE(CONTROL!$C$28, 0, 0)</f>
        <v>11.6587</v>
      </c>
      <c r="E40" s="4">
        <f>43.21 * CHOOSE(CONTROL!$C$9, $C$13, 100%, $E$13) + CHOOSE(CONTROL!$C$28, 0, 0)</f>
        <v>43.21</v>
      </c>
    </row>
    <row r="41" spans="1:5" ht="15">
      <c r="A41" s="13">
        <v>43101</v>
      </c>
      <c r="B41" s="4">
        <f>7.3844 * CHOOSE(CONTROL!$C$9, $C$13, 100%, $E$13) + CHOOSE(CONTROL!$C$28, 0.0003, 0)</f>
        <v>7.3847000000000005</v>
      </c>
      <c r="C41" s="4">
        <f>7.0719 * CHOOSE(CONTROL!$C$9, $C$13, 100%, $E$13) + CHOOSE(CONTROL!$C$28, 0.0003, 0)</f>
        <v>7.0722000000000005</v>
      </c>
      <c r="D41" s="4">
        <f>11.7091 * CHOOSE(CONTROL!$C$9, $C$13, 100%, $E$13) + CHOOSE(CONTROL!$C$28, 0, 0)</f>
        <v>11.709099999999999</v>
      </c>
      <c r="E41" s="4">
        <f>43.36 * CHOOSE(CONTROL!$C$9, $C$13, 100%, $E$13) + CHOOSE(CONTROL!$C$28, 0, 0)</f>
        <v>43.36</v>
      </c>
    </row>
    <row r="42" spans="1:5" ht="15">
      <c r="A42" s="13">
        <v>43132</v>
      </c>
      <c r="B42" s="4">
        <f>7.4297 * CHOOSE(CONTROL!$C$9, $C$13, 100%, $E$13) + CHOOSE(CONTROL!$C$28, 0.0003, 0)</f>
        <v>7.4300000000000006</v>
      </c>
      <c r="C42" s="4">
        <f>7.1172 * CHOOSE(CONTROL!$C$9, $C$13, 100%, $E$13) + CHOOSE(CONTROL!$C$28, 0.0003, 0)</f>
        <v>7.1175000000000006</v>
      </c>
      <c r="D42" s="4">
        <f>11.7307 * CHOOSE(CONTROL!$C$9, $C$13, 100%, $E$13) + CHOOSE(CONTROL!$C$28, 0, 0)</f>
        <v>11.730700000000001</v>
      </c>
      <c r="E42" s="4">
        <f>43.52 * CHOOSE(CONTROL!$C$9, $C$13, 100%, $E$13) + CHOOSE(CONTROL!$C$28, 0, 0)</f>
        <v>43.52</v>
      </c>
    </row>
    <row r="43" spans="1:5" ht="15">
      <c r="A43" s="13">
        <v>43160</v>
      </c>
      <c r="B43" s="4">
        <f>7.4766 * CHOOSE(CONTROL!$C$9, $C$13, 100%, $E$13) + CHOOSE(CONTROL!$C$28, 0.0003, 0)</f>
        <v>7.4769000000000005</v>
      </c>
      <c r="C43" s="4">
        <f>7.1641 * CHOOSE(CONTROL!$C$9, $C$13, 100%, $E$13) + CHOOSE(CONTROL!$C$28, 0.0003, 0)</f>
        <v>7.1644000000000005</v>
      </c>
      <c r="D43" s="4">
        <f>11.7163 * CHOOSE(CONTROL!$C$9, $C$13, 100%, $E$13) + CHOOSE(CONTROL!$C$28, 0, 0)</f>
        <v>11.7163</v>
      </c>
      <c r="E43" s="4">
        <f>43.7 * CHOOSE(CONTROL!$C$9, $C$13, 100%, $E$13) + CHOOSE(CONTROL!$C$28, 0, 0)</f>
        <v>43.7</v>
      </c>
    </row>
    <row r="44" spans="1:5" ht="15">
      <c r="A44" s="13">
        <v>43191</v>
      </c>
      <c r="B44" s="4">
        <f>7.5266 * CHOOSE(CONTROL!$C$9, $C$13, 100%, $E$13) + CHOOSE(CONTROL!$C$28, 0.0003, 0)</f>
        <v>7.5269000000000004</v>
      </c>
      <c r="C44" s="4">
        <f>7.2141 * CHOOSE(CONTROL!$C$9, $C$13, 100%, $E$13) + CHOOSE(CONTROL!$C$28, 0.0003, 0)</f>
        <v>7.2144000000000004</v>
      </c>
      <c r="D44" s="4">
        <f>11.6875 * CHOOSE(CONTROL!$C$9, $C$13, 100%, $E$13) + CHOOSE(CONTROL!$C$28, 0, 0)</f>
        <v>11.6875</v>
      </c>
      <c r="E44" s="4">
        <f>43.89 * CHOOSE(CONTROL!$C$9, $C$13, 100%, $E$13) + CHOOSE(CONTROL!$C$28, 0, 0)</f>
        <v>43.89</v>
      </c>
    </row>
    <row r="45" spans="1:5" ht="15">
      <c r="A45" s="13">
        <v>43221</v>
      </c>
      <c r="B45" s="4">
        <f>7.5672 * CHOOSE(CONTROL!$C$9, $C$13, 100%, $E$13) + CHOOSE(CONTROL!$C$28, 0.0294, 0)</f>
        <v>7.5965999999999996</v>
      </c>
      <c r="C45" s="4">
        <f>7.2547 * CHOOSE(CONTROL!$C$9, $C$13, 100%, $E$13) + CHOOSE(CONTROL!$C$28, 0.0294, 0)</f>
        <v>7.2840999999999996</v>
      </c>
      <c r="D45" s="4">
        <f>11.7199 * CHOOSE(CONTROL!$C$9, $C$13, 100%, $E$13) + CHOOSE(CONTROL!$C$28, 0, 0)</f>
        <v>11.719900000000001</v>
      </c>
      <c r="E45" s="4">
        <f>44.07 * CHOOSE(CONTROL!$C$9, $C$13, 100%, $E$13) + CHOOSE(CONTROL!$C$28, 0, 0)</f>
        <v>44.07</v>
      </c>
    </row>
    <row r="46" spans="1:5" ht="15">
      <c r="A46" s="13">
        <v>43252</v>
      </c>
      <c r="B46" s="4">
        <f>7.6078 * CHOOSE(CONTROL!$C$9, $C$13, 100%, $E$13) + CHOOSE(CONTROL!$C$28, 0.0294, 0)</f>
        <v>7.6372</v>
      </c>
      <c r="C46" s="4">
        <f>7.2953 * CHOOSE(CONTROL!$C$9, $C$13, 100%, $E$13) + CHOOSE(CONTROL!$C$28, 0.0294, 0)</f>
        <v>7.3247</v>
      </c>
      <c r="D46" s="4">
        <f>11.7812 * CHOOSE(CONTROL!$C$9, $C$13, 100%, $E$13) + CHOOSE(CONTROL!$C$28, 0, 0)</f>
        <v>11.7812</v>
      </c>
      <c r="E46" s="4">
        <f>44.24 * CHOOSE(CONTROL!$C$9, $C$13, 100%, $E$13) + CHOOSE(CONTROL!$C$28, 0, 0)</f>
        <v>44.24</v>
      </c>
    </row>
    <row r="47" spans="1:5" ht="15">
      <c r="A47" s="13">
        <v>43282</v>
      </c>
      <c r="B47" s="4">
        <f>7.6516 * CHOOSE(CONTROL!$C$9, $C$13, 100%, $E$13) + CHOOSE(CONTROL!$C$28, 0.0294, 0)</f>
        <v>7.681</v>
      </c>
      <c r="C47" s="4">
        <f>7.3391 * CHOOSE(CONTROL!$C$9, $C$13, 100%, $E$13) + CHOOSE(CONTROL!$C$28, 0.0294, 0)</f>
        <v>7.3685</v>
      </c>
      <c r="D47" s="4">
        <f>11.8784 * CHOOSE(CONTROL!$C$9, $C$13, 100%, $E$13) + CHOOSE(CONTROL!$C$28, 0, 0)</f>
        <v>11.878399999999999</v>
      </c>
      <c r="E47" s="4">
        <f>44.38 * CHOOSE(CONTROL!$C$9, $C$13, 100%, $E$13) + CHOOSE(CONTROL!$C$28, 0, 0)</f>
        <v>44.38</v>
      </c>
    </row>
    <row r="48" spans="1:5" ht="15">
      <c r="A48" s="13">
        <v>43313</v>
      </c>
      <c r="B48" s="4">
        <f>7.7016 * CHOOSE(CONTROL!$C$9, $C$13, 100%, $E$13) + CHOOSE(CONTROL!$C$28, 0.0294, 0)</f>
        <v>7.7309999999999999</v>
      </c>
      <c r="C48" s="4">
        <f>7.3891 * CHOOSE(CONTROL!$C$9, $C$13, 100%, $E$13) + CHOOSE(CONTROL!$C$28, 0.0294, 0)</f>
        <v>7.4184999999999999</v>
      </c>
      <c r="D48" s="4">
        <f>11.9757 * CHOOSE(CONTROL!$C$9, $C$13, 100%, $E$13) + CHOOSE(CONTROL!$C$28, 0, 0)</f>
        <v>11.9757</v>
      </c>
      <c r="E48" s="4">
        <f>44.56 * CHOOSE(CONTROL!$C$9, $C$13, 100%, $E$13) + CHOOSE(CONTROL!$C$28, 0, 0)</f>
        <v>44.56</v>
      </c>
    </row>
    <row r="49" spans="1:5" ht="15">
      <c r="A49" s="13">
        <v>43344</v>
      </c>
      <c r="B49" s="4">
        <f>7.7438 * CHOOSE(CONTROL!$C$9, $C$13, 100%, $E$13) + CHOOSE(CONTROL!$C$28, 0.0294, 0)</f>
        <v>7.7732000000000001</v>
      </c>
      <c r="C49" s="4">
        <f>7.4313 * CHOOSE(CONTROL!$C$9, $C$13, 100%, $E$13) + CHOOSE(CONTROL!$C$28, 0.0294, 0)</f>
        <v>7.4607000000000001</v>
      </c>
      <c r="D49" s="4">
        <f>12.0765 * CHOOSE(CONTROL!$C$9, $C$13, 100%, $E$13) + CHOOSE(CONTROL!$C$28, 0, 0)</f>
        <v>12.076499999999999</v>
      </c>
      <c r="E49" s="4">
        <f>44.74 * CHOOSE(CONTROL!$C$9, $C$13, 100%, $E$13) + CHOOSE(CONTROL!$C$28, 0, 0)</f>
        <v>44.74</v>
      </c>
    </row>
    <row r="50" spans="1:5" ht="15">
      <c r="A50" s="13">
        <v>43374</v>
      </c>
      <c r="B50" s="4">
        <f>7.7875 * CHOOSE(CONTROL!$C$9, $C$13, 100%, $E$13) + CHOOSE(CONTROL!$C$28, 0.0003, 0)</f>
        <v>7.7877999999999998</v>
      </c>
      <c r="C50" s="4">
        <f>7.475 * CHOOSE(CONTROL!$C$9, $C$13, 100%, $E$13) + CHOOSE(CONTROL!$C$28, 0.0003, 0)</f>
        <v>7.4752999999999998</v>
      </c>
      <c r="D50" s="4">
        <f>12.1767 * CHOOSE(CONTROL!$C$9, $C$13, 100%, $E$13) + CHOOSE(CONTROL!$C$28, 0, 0)</f>
        <v>12.1767</v>
      </c>
      <c r="E50" s="4">
        <f>44.94 * CHOOSE(CONTROL!$C$9, $C$13, 100%, $E$13) + CHOOSE(CONTROL!$C$28, 0, 0)</f>
        <v>44.94</v>
      </c>
    </row>
    <row r="51" spans="1:5" ht="15">
      <c r="A51" s="13">
        <v>43405</v>
      </c>
      <c r="B51" s="4">
        <f>7.8312 * CHOOSE(CONTROL!$C$9, $C$13, 100%, $E$13) + CHOOSE(CONTROL!$C$28, 0.0003, 0)</f>
        <v>7.8315000000000001</v>
      </c>
      <c r="C51" s="4">
        <f>7.5187 * CHOOSE(CONTROL!$C$9, $C$13, 100%, $E$13) + CHOOSE(CONTROL!$C$28, 0.0003, 0)</f>
        <v>7.5190000000000001</v>
      </c>
      <c r="D51" s="4">
        <f>12.2667 * CHOOSE(CONTROL!$C$9, $C$13, 100%, $E$13) + CHOOSE(CONTROL!$C$28, 0, 0)</f>
        <v>12.2667</v>
      </c>
      <c r="E51" s="4">
        <f>45.15 * CHOOSE(CONTROL!$C$9, $C$13, 100%, $E$13) + CHOOSE(CONTROL!$C$28, 0, 0)</f>
        <v>45.15</v>
      </c>
    </row>
    <row r="52" spans="1:5" ht="15">
      <c r="A52" s="13">
        <v>43435</v>
      </c>
      <c r="B52" s="4">
        <f>7.875 * CHOOSE(CONTROL!$C$9, $C$13, 100%, $E$13) + CHOOSE(CONTROL!$C$28, 0.0003, 0)</f>
        <v>7.8753000000000002</v>
      </c>
      <c r="C52" s="4">
        <f>7.5625 * CHOOSE(CONTROL!$C$9, $C$13, 100%, $E$13) + CHOOSE(CONTROL!$C$28, 0.0003, 0)</f>
        <v>7.5628000000000002</v>
      </c>
      <c r="D52" s="4">
        <f>12.3424 * CHOOSE(CONTROL!$C$9, $C$13, 100%, $E$13) + CHOOSE(CONTROL!$C$28, 0, 0)</f>
        <v>12.3424</v>
      </c>
      <c r="E52" s="4">
        <f>45.36 * CHOOSE(CONTROL!$C$9, $C$13, 100%, $E$13) + CHOOSE(CONTROL!$C$28, 0, 0)</f>
        <v>45.36</v>
      </c>
    </row>
    <row r="53" spans="1:5" ht="15">
      <c r="A53" s="13">
        <v>43466</v>
      </c>
      <c r="B53" s="4">
        <f>9.2576 * CHOOSE(CONTROL!$C$9, $C$13, 100%, $E$13) + CHOOSE(CONTROL!$C$28, 0.0003, 0)</f>
        <v>9.2578999999999994</v>
      </c>
      <c r="C53" s="4">
        <f>8.9451 * CHOOSE(CONTROL!$C$9, $C$13, 100%, $E$13) + CHOOSE(CONTROL!$C$28, 0.0003, 0)</f>
        <v>8.9453999999999994</v>
      </c>
      <c r="D53" s="4">
        <f>13.9407 * CHOOSE(CONTROL!$C$9, $C$13, 100%, $E$13) + CHOOSE(CONTROL!$C$28, 0, 0)</f>
        <v>13.9407</v>
      </c>
      <c r="E53" s="4">
        <f>52.7876998530298 * CHOOSE(CONTROL!$C$9, $C$13, 100%, $E$13) + CHOOSE(CONTROL!$C$28, 0, 0)</f>
        <v>52.7876998530298</v>
      </c>
    </row>
    <row r="54" spans="1:5" ht="15">
      <c r="A54" s="13">
        <v>43497</v>
      </c>
      <c r="B54" s="4">
        <f>9.4329 * CHOOSE(CONTROL!$C$9, $C$13, 100%, $E$13) + CHOOSE(CONTROL!$C$28, 0.0003, 0)</f>
        <v>9.4331999999999994</v>
      </c>
      <c r="C54" s="4">
        <f>9.1204 * CHOOSE(CONTROL!$C$9, $C$13, 100%, $E$13) + CHOOSE(CONTROL!$C$28, 0.0003, 0)</f>
        <v>9.1206999999999994</v>
      </c>
      <c r="D54" s="4">
        <f>14.3663 * CHOOSE(CONTROL!$C$9, $C$13, 100%, $E$13) + CHOOSE(CONTROL!$C$28, 0, 0)</f>
        <v>14.366300000000001</v>
      </c>
      <c r="E54" s="4">
        <f>54.0410878790854 * CHOOSE(CONTROL!$C$9, $C$13, 100%, $E$13) + CHOOSE(CONTROL!$C$28, 0, 0)</f>
        <v>54.041087879085403</v>
      </c>
    </row>
    <row r="55" spans="1:5" ht="15">
      <c r="A55" s="13">
        <v>43525</v>
      </c>
      <c r="B55" s="4">
        <f>9.8933 * CHOOSE(CONTROL!$C$9, $C$13, 100%, $E$13) + CHOOSE(CONTROL!$C$28, 0.0003, 0)</f>
        <v>9.8935999999999993</v>
      </c>
      <c r="C55" s="4">
        <f>9.5808 * CHOOSE(CONTROL!$C$9, $C$13, 100%, $E$13) + CHOOSE(CONTROL!$C$28, 0.0003, 0)</f>
        <v>9.5810999999999993</v>
      </c>
      <c r="D55" s="4">
        <f>15.0325 * CHOOSE(CONTROL!$C$9, $C$13, 100%, $E$13) + CHOOSE(CONTROL!$C$28, 0, 0)</f>
        <v>15.032500000000001</v>
      </c>
      <c r="E55" s="4">
        <f>57.3325514445924 * CHOOSE(CONTROL!$C$9, $C$13, 100%, $E$13) + CHOOSE(CONTROL!$C$28, 0, 0)</f>
        <v>57.332551444592397</v>
      </c>
    </row>
    <row r="56" spans="1:5" ht="15">
      <c r="A56" s="13">
        <v>43556</v>
      </c>
      <c r="B56" s="4">
        <f>10.2203 * CHOOSE(CONTROL!$C$9, $C$13, 100%, $E$13) + CHOOSE(CONTROL!$C$28, 0.0003, 0)</f>
        <v>10.220599999999999</v>
      </c>
      <c r="C56" s="4">
        <f>9.9078 * CHOOSE(CONTROL!$C$9, $C$13, 100%, $E$13) + CHOOSE(CONTROL!$C$28, 0.0003, 0)</f>
        <v>9.9080999999999992</v>
      </c>
      <c r="D56" s="4">
        <f>15.4163 * CHOOSE(CONTROL!$C$9, $C$13, 100%, $E$13) + CHOOSE(CONTROL!$C$28, 0, 0)</f>
        <v>15.4163</v>
      </c>
      <c r="E56" s="4">
        <f>59.6711801724046 * CHOOSE(CONTROL!$C$9, $C$13, 100%, $E$13) + CHOOSE(CONTROL!$C$28, 0, 0)</f>
        <v>59.671180172404597</v>
      </c>
    </row>
    <row r="57" spans="1:5" ht="15">
      <c r="A57" s="13">
        <v>43586</v>
      </c>
      <c r="B57" s="4">
        <f>10.4202 * CHOOSE(CONTROL!$C$9, $C$13, 100%, $E$13) + CHOOSE(CONTROL!$C$28, 0.0294, 0)</f>
        <v>10.4496</v>
      </c>
      <c r="C57" s="4">
        <f>10.1077 * CHOOSE(CONTROL!$C$9, $C$13, 100%, $E$13) + CHOOSE(CONTROL!$C$28, 0.0294, 0)</f>
        <v>10.1371</v>
      </c>
      <c r="D57" s="4">
        <f>15.2646 * CHOOSE(CONTROL!$C$9, $C$13, 100%, $E$13) + CHOOSE(CONTROL!$C$28, 0, 0)</f>
        <v>15.2646</v>
      </c>
      <c r="E57" s="4">
        <f>61.1000262759897 * CHOOSE(CONTROL!$C$9, $C$13, 100%, $E$13) + CHOOSE(CONTROL!$C$28, 0, 0)</f>
        <v>61.100026275989698</v>
      </c>
    </row>
    <row r="58" spans="1:5" ht="15">
      <c r="A58" s="13">
        <v>43617</v>
      </c>
      <c r="B58" s="4">
        <f>10.4472 * CHOOSE(CONTROL!$C$9, $C$13, 100%, $E$13) + CHOOSE(CONTROL!$C$28, 0.0294, 0)</f>
        <v>10.476600000000001</v>
      </c>
      <c r="C58" s="4">
        <f>10.1347 * CHOOSE(CONTROL!$C$9, $C$13, 100%, $E$13) + CHOOSE(CONTROL!$C$28, 0.0294, 0)</f>
        <v>10.164100000000001</v>
      </c>
      <c r="D58" s="4">
        <f>15.3881 * CHOOSE(CONTROL!$C$9, $C$13, 100%, $E$13) + CHOOSE(CONTROL!$C$28, 0, 0)</f>
        <v>15.3881</v>
      </c>
      <c r="E58" s="4">
        <f>61.293355083638 * CHOOSE(CONTROL!$C$9, $C$13, 100%, $E$13) + CHOOSE(CONTROL!$C$28, 0, 0)</f>
        <v>61.293355083637998</v>
      </c>
    </row>
    <row r="59" spans="1:5" ht="15">
      <c r="A59" s="13">
        <v>43647</v>
      </c>
      <c r="B59" s="4">
        <f>10.4445 * CHOOSE(CONTROL!$C$9, $C$13, 100%, $E$13) + CHOOSE(CONTROL!$C$28, 0.0294, 0)</f>
        <v>10.4739</v>
      </c>
      <c r="C59" s="4">
        <f>10.132 * CHOOSE(CONTROL!$C$9, $C$13, 100%, $E$13) + CHOOSE(CONTROL!$C$28, 0.0294, 0)</f>
        <v>10.1614</v>
      </c>
      <c r="D59" s="4">
        <f>15.611 * CHOOSE(CONTROL!$C$9, $C$13, 100%, $E$13) + CHOOSE(CONTROL!$C$28, 0, 0)</f>
        <v>15.611000000000001</v>
      </c>
      <c r="E59" s="4">
        <f>61.2738597416903 * CHOOSE(CONTROL!$C$9, $C$13, 100%, $E$13) + CHOOSE(CONTROL!$C$28, 0, 0)</f>
        <v>61.273859741690302</v>
      </c>
    </row>
    <row r="60" spans="1:5" ht="15">
      <c r="A60" s="13">
        <v>43678</v>
      </c>
      <c r="B60" s="4">
        <f>10.6496 * CHOOSE(CONTROL!$C$9, $C$13, 100%, $E$13) + CHOOSE(CONTROL!$C$28, 0.0294, 0)</f>
        <v>10.679</v>
      </c>
      <c r="C60" s="4">
        <f>10.3371 * CHOOSE(CONTROL!$C$9, $C$13, 100%, $E$13) + CHOOSE(CONTROL!$C$28, 0.0294, 0)</f>
        <v>10.3665</v>
      </c>
      <c r="D60" s="4">
        <f>15.4638 * CHOOSE(CONTROL!$C$9, $C$13, 100%, $E$13) + CHOOSE(CONTROL!$C$28, 0, 0)</f>
        <v>15.463800000000001</v>
      </c>
      <c r="E60" s="4">
        <f>62.7408842232563 * CHOOSE(CONTROL!$C$9, $C$13, 100%, $E$13) + CHOOSE(CONTROL!$C$28, 0, 0)</f>
        <v>62.740884223256302</v>
      </c>
    </row>
    <row r="61" spans="1:5" ht="15">
      <c r="A61" s="13">
        <v>43709</v>
      </c>
      <c r="B61" s="4">
        <f>10.3 * CHOOSE(CONTROL!$C$9, $C$13, 100%, $E$13) + CHOOSE(CONTROL!$C$28, 0.0294, 0)</f>
        <v>10.329400000000001</v>
      </c>
      <c r="C61" s="4">
        <f>9.9875 * CHOOSE(CONTROL!$C$9, $C$13, 100%, $E$13) + CHOOSE(CONTROL!$C$28, 0.0294, 0)</f>
        <v>10.016900000000001</v>
      </c>
      <c r="D61" s="4">
        <f>15.3943 * CHOOSE(CONTROL!$C$9, $C$13, 100%, $E$13) + CHOOSE(CONTROL!$C$28, 0, 0)</f>
        <v>15.394299999999999</v>
      </c>
      <c r="E61" s="4">
        <f>60.240606618461 * CHOOSE(CONTROL!$C$9, $C$13, 100%, $E$13) + CHOOSE(CONTROL!$C$28, 0, 0)</f>
        <v>60.240606618461001</v>
      </c>
    </row>
    <row r="62" spans="1:5" ht="15">
      <c r="A62" s="13">
        <v>43739</v>
      </c>
      <c r="B62" s="4">
        <f>10.02 * CHOOSE(CONTROL!$C$9, $C$13, 100%, $E$13) + CHOOSE(CONTROL!$C$28, 0.0003, 0)</f>
        <v>10.020299999999999</v>
      </c>
      <c r="C62" s="4">
        <f>9.7075 * CHOOSE(CONTROL!$C$9, $C$13, 100%, $E$13) + CHOOSE(CONTROL!$C$28, 0.0003, 0)</f>
        <v>9.7077999999999989</v>
      </c>
      <c r="D62" s="4">
        <f>15.2081 * CHOOSE(CONTROL!$C$9, $C$13, 100%, $E$13) + CHOOSE(CONTROL!$C$28, 0, 0)</f>
        <v>15.2081</v>
      </c>
      <c r="E62" s="4">
        <f>58.2390848451615 * CHOOSE(CONTROL!$C$9, $C$13, 100%, $E$13) + CHOOSE(CONTROL!$C$28, 0, 0)</f>
        <v>58.2390848451615</v>
      </c>
    </row>
    <row r="63" spans="1:5" ht="15">
      <c r="A63" s="13">
        <v>43770</v>
      </c>
      <c r="B63" s="4">
        <f>9.8397 * CHOOSE(CONTROL!$C$9, $C$13, 100%, $E$13) + CHOOSE(CONTROL!$C$28, 0.0003, 0)</f>
        <v>9.84</v>
      </c>
      <c r="C63" s="4">
        <f>9.5272 * CHOOSE(CONTROL!$C$9, $C$13, 100%, $E$13) + CHOOSE(CONTROL!$C$28, 0.0003, 0)</f>
        <v>9.5274999999999999</v>
      </c>
      <c r="D63" s="4">
        <f>15.1441 * CHOOSE(CONTROL!$C$9, $C$13, 100%, $E$13) + CHOOSE(CONTROL!$C$28, 0, 0)</f>
        <v>15.1441</v>
      </c>
      <c r="E63" s="4">
        <f>56.9499553588684 * CHOOSE(CONTROL!$C$9, $C$13, 100%, $E$13) + CHOOSE(CONTROL!$C$28, 0, 0)</f>
        <v>56.949955358868401</v>
      </c>
    </row>
    <row r="64" spans="1:5" ht="15">
      <c r="A64" s="13">
        <v>43800</v>
      </c>
      <c r="B64" s="4">
        <f>9.715 * CHOOSE(CONTROL!$C$9, $C$13, 100%, $E$13) + CHOOSE(CONTROL!$C$28, 0.0003, 0)</f>
        <v>9.7152999999999992</v>
      </c>
      <c r="C64" s="4">
        <f>9.4025 * CHOOSE(CONTROL!$C$9, $C$13, 100%, $E$13) + CHOOSE(CONTROL!$C$28, 0.0003, 0)</f>
        <v>9.4027999999999992</v>
      </c>
      <c r="D64" s="4">
        <f>14.6729 * CHOOSE(CONTROL!$C$9, $C$13, 100%, $E$13) + CHOOSE(CONTROL!$C$28, 0, 0)</f>
        <v>14.6729</v>
      </c>
      <c r="E64" s="4">
        <f>56.0580434647601 * CHOOSE(CONTROL!$C$9, $C$13, 100%, $E$13) + CHOOSE(CONTROL!$C$28, 0, 0)</f>
        <v>56.058043464760097</v>
      </c>
    </row>
    <row r="65" spans="1:5" ht="15">
      <c r="A65" s="13">
        <v>43831</v>
      </c>
      <c r="B65" s="4">
        <f>9.7554 * CHOOSE(CONTROL!$C$9, $C$13, 100%, $E$13) + CHOOSE(CONTROL!$C$28, 0.0003, 0)</f>
        <v>9.7556999999999992</v>
      </c>
      <c r="C65" s="4">
        <f>9.4429 * CHOOSE(CONTROL!$C$9, $C$13, 100%, $E$13) + CHOOSE(CONTROL!$C$28, 0.0003, 0)</f>
        <v>9.4431999999999992</v>
      </c>
      <c r="D65" s="4">
        <f>14.5184 * CHOOSE(CONTROL!$C$9, $C$13, 100%, $E$13) + CHOOSE(CONTROL!$C$28, 0, 0)</f>
        <v>14.5184</v>
      </c>
      <c r="E65" s="4">
        <f>55.6798554546516 * CHOOSE(CONTROL!$C$9, $C$13, 100%, $E$13) + CHOOSE(CONTROL!$C$28, 0, 0)</f>
        <v>55.679855454651602</v>
      </c>
    </row>
    <row r="66" spans="1:5" ht="15">
      <c r="A66" s="13">
        <v>43862</v>
      </c>
      <c r="B66" s="4">
        <f>9.9426 * CHOOSE(CONTROL!$C$9, $C$13, 100%, $E$13) + CHOOSE(CONTROL!$C$28, 0.0003, 0)</f>
        <v>9.9428999999999998</v>
      </c>
      <c r="C66" s="4">
        <f>9.6301 * CHOOSE(CONTROL!$C$9, $C$13, 100%, $E$13) + CHOOSE(CONTROL!$C$28, 0.0003, 0)</f>
        <v>9.6303999999999998</v>
      </c>
      <c r="D66" s="4">
        <f>14.9644 * CHOOSE(CONTROL!$C$9, $C$13, 100%, $E$13) + CHOOSE(CONTROL!$C$28, 0, 0)</f>
        <v>14.964399999999999</v>
      </c>
      <c r="E66" s="4">
        <f>57.0019146524131 * CHOOSE(CONTROL!$C$9, $C$13, 100%, $E$13) + CHOOSE(CONTROL!$C$28, 0, 0)</f>
        <v>57.001914652413099</v>
      </c>
    </row>
    <row r="67" spans="1:5" ht="15">
      <c r="A67" s="13">
        <v>43891</v>
      </c>
      <c r="B67" s="4">
        <f>10.4339 * CHOOSE(CONTROL!$C$9, $C$13, 100%, $E$13) + CHOOSE(CONTROL!$C$28, 0.0003, 0)</f>
        <v>10.434199999999999</v>
      </c>
      <c r="C67" s="4">
        <f>10.1214 * CHOOSE(CONTROL!$C$9, $C$13, 100%, $E$13) + CHOOSE(CONTROL!$C$28, 0.0003, 0)</f>
        <v>10.121699999999999</v>
      </c>
      <c r="D67" s="4">
        <f>15.6625 * CHOOSE(CONTROL!$C$9, $C$13, 100%, $E$13) + CHOOSE(CONTROL!$C$28, 0, 0)</f>
        <v>15.6625</v>
      </c>
      <c r="E67" s="4">
        <f>60.4737123642273 * CHOOSE(CONTROL!$C$9, $C$13, 100%, $E$13) + CHOOSE(CONTROL!$C$28, 0, 0)</f>
        <v>60.473712364227303</v>
      </c>
    </row>
    <row r="68" spans="1:5" ht="15">
      <c r="A68" s="13">
        <v>43922</v>
      </c>
      <c r="B68" s="4">
        <f>10.7831 * CHOOSE(CONTROL!$C$9, $C$13, 100%, $E$13) + CHOOSE(CONTROL!$C$28, 0.0003, 0)</f>
        <v>10.783399999999999</v>
      </c>
      <c r="C68" s="4">
        <f>10.4706 * CHOOSE(CONTROL!$C$9, $C$13, 100%, $E$13) + CHOOSE(CONTROL!$C$28, 0.0003, 0)</f>
        <v>10.470899999999999</v>
      </c>
      <c r="D68" s="4">
        <f>16.0647 * CHOOSE(CONTROL!$C$9, $C$13, 100%, $E$13) + CHOOSE(CONTROL!$C$28, 0, 0)</f>
        <v>16.064699999999998</v>
      </c>
      <c r="E68" s="4">
        <f>62.9404709062592 * CHOOSE(CONTROL!$C$9, $C$13, 100%, $E$13) + CHOOSE(CONTROL!$C$28, 0, 0)</f>
        <v>62.9404709062592</v>
      </c>
    </row>
    <row r="69" spans="1:5" ht="15">
      <c r="A69" s="13">
        <v>43952</v>
      </c>
      <c r="B69" s="4">
        <f>10.9964 * CHOOSE(CONTROL!$C$9, $C$13, 100%, $E$13) + CHOOSE(CONTROL!$C$28, 0.0294, 0)</f>
        <v>11.0258</v>
      </c>
      <c r="C69" s="4">
        <f>10.6839 * CHOOSE(CONTROL!$C$9, $C$13, 100%, $E$13) + CHOOSE(CONTROL!$C$28, 0.0294, 0)</f>
        <v>10.7133</v>
      </c>
      <c r="D69" s="4">
        <f>15.9058 * CHOOSE(CONTROL!$C$9, $C$13, 100%, $E$13) + CHOOSE(CONTROL!$C$28, 0, 0)</f>
        <v>15.905799999999999</v>
      </c>
      <c r="E69" s="4">
        <f>64.4476012554895 * CHOOSE(CONTROL!$C$9, $C$13, 100%, $E$13) + CHOOSE(CONTROL!$C$28, 0, 0)</f>
        <v>64.447601255489502</v>
      </c>
    </row>
    <row r="70" spans="1:5" ht="15">
      <c r="A70" s="13">
        <v>43983</v>
      </c>
      <c r="B70" s="4">
        <f>11.0252 * CHOOSE(CONTROL!$C$9, $C$13, 100%, $E$13) + CHOOSE(CONTROL!$C$28, 0.0294, 0)</f>
        <v>11.054600000000001</v>
      </c>
      <c r="C70" s="4">
        <f>10.7127 * CHOOSE(CONTROL!$C$9, $C$13, 100%, $E$13) + CHOOSE(CONTROL!$C$28, 0.0294, 0)</f>
        <v>10.742100000000001</v>
      </c>
      <c r="D70" s="4">
        <f>16.0352 * CHOOSE(CONTROL!$C$9, $C$13, 100%, $E$13) + CHOOSE(CONTROL!$C$28, 0, 0)</f>
        <v>16.0352</v>
      </c>
      <c r="E70" s="4">
        <f>64.6515222464598 * CHOOSE(CONTROL!$C$9, $C$13, 100%, $E$13) + CHOOSE(CONTROL!$C$28, 0, 0)</f>
        <v>64.651522246459805</v>
      </c>
    </row>
    <row r="71" spans="1:5" ht="15">
      <c r="A71" s="13">
        <v>44013</v>
      </c>
      <c r="B71" s="4">
        <f>11.0223 * CHOOSE(CONTROL!$C$9, $C$13, 100%, $E$13) + CHOOSE(CONTROL!$C$28, 0.0294, 0)</f>
        <v>11.0517</v>
      </c>
      <c r="C71" s="4">
        <f>10.7098 * CHOOSE(CONTROL!$C$9, $C$13, 100%, $E$13) + CHOOSE(CONTROL!$C$28, 0.0294, 0)</f>
        <v>10.7392</v>
      </c>
      <c r="D71" s="4">
        <f>16.2687 * CHOOSE(CONTROL!$C$9, $C$13, 100%, $E$13) + CHOOSE(CONTROL!$C$28, 0, 0)</f>
        <v>16.268699999999999</v>
      </c>
      <c r="E71" s="4">
        <f>64.6309587851855 * CHOOSE(CONTROL!$C$9, $C$13, 100%, $E$13) + CHOOSE(CONTROL!$C$28, 0, 0)</f>
        <v>64.630958785185499</v>
      </c>
    </row>
    <row r="72" spans="1:5" ht="15">
      <c r="A72" s="13">
        <v>44044</v>
      </c>
      <c r="B72" s="4">
        <f>11.2413 * CHOOSE(CONTROL!$C$9, $C$13, 100%, $E$13) + CHOOSE(CONTROL!$C$28, 0.0294, 0)</f>
        <v>11.270700000000001</v>
      </c>
      <c r="C72" s="4">
        <f>10.9288 * CHOOSE(CONTROL!$C$9, $C$13, 100%, $E$13) + CHOOSE(CONTROL!$C$28, 0.0294, 0)</f>
        <v>10.958200000000001</v>
      </c>
      <c r="D72" s="4">
        <f>16.1145 * CHOOSE(CONTROL!$C$9, $C$13, 100%, $E$13) + CHOOSE(CONTROL!$C$28, 0, 0)</f>
        <v>16.1145</v>
      </c>
      <c r="E72" s="4">
        <f>66.178359246078 * CHOOSE(CONTROL!$C$9, $C$13, 100%, $E$13) + CHOOSE(CONTROL!$C$28, 0, 0)</f>
        <v>66.178359246078003</v>
      </c>
    </row>
    <row r="73" spans="1:5" ht="15">
      <c r="A73" s="13">
        <v>44075</v>
      </c>
      <c r="B73" s="4">
        <f>10.8681 * CHOOSE(CONTROL!$C$9, $C$13, 100%, $E$13) + CHOOSE(CONTROL!$C$28, 0.0294, 0)</f>
        <v>10.897500000000001</v>
      </c>
      <c r="C73" s="4">
        <f>10.5556 * CHOOSE(CONTROL!$C$9, $C$13, 100%, $E$13) + CHOOSE(CONTROL!$C$28, 0.0294, 0)</f>
        <v>10.585000000000001</v>
      </c>
      <c r="D73" s="4">
        <f>16.0416 * CHOOSE(CONTROL!$C$9, $C$13, 100%, $E$13) + CHOOSE(CONTROL!$C$28, 0, 0)</f>
        <v>16.041599999999999</v>
      </c>
      <c r="E73" s="4">
        <f>63.5410953376466 * CHOOSE(CONTROL!$C$9, $C$13, 100%, $E$13) + CHOOSE(CONTROL!$C$28, 0, 0)</f>
        <v>63.541095337646603</v>
      </c>
    </row>
    <row r="74" spans="1:5" ht="15">
      <c r="A74" s="13">
        <v>44105</v>
      </c>
      <c r="B74" s="4">
        <f>10.5693 * CHOOSE(CONTROL!$C$9, $C$13, 100%, $E$13) + CHOOSE(CONTROL!$C$28, 0.0003, 0)</f>
        <v>10.569599999999999</v>
      </c>
      <c r="C74" s="4">
        <f>10.2568 * CHOOSE(CONTROL!$C$9, $C$13, 100%, $E$13) + CHOOSE(CONTROL!$C$28, 0.0003, 0)</f>
        <v>10.257099999999999</v>
      </c>
      <c r="D74" s="4">
        <f>15.8465 * CHOOSE(CONTROL!$C$9, $C$13, 100%, $E$13) + CHOOSE(CONTROL!$C$28, 0, 0)</f>
        <v>15.846500000000001</v>
      </c>
      <c r="E74" s="4">
        <f>61.4299133134831 * CHOOSE(CONTROL!$C$9, $C$13, 100%, $E$13) + CHOOSE(CONTROL!$C$28, 0, 0)</f>
        <v>61.429913313483098</v>
      </c>
    </row>
    <row r="75" spans="1:5" ht="15">
      <c r="A75" s="13">
        <v>44136</v>
      </c>
      <c r="B75" s="4">
        <f>10.3768 * CHOOSE(CONTROL!$C$9, $C$13, 100%, $E$13) + CHOOSE(CONTROL!$C$28, 0.0003, 0)</f>
        <v>10.377099999999999</v>
      </c>
      <c r="C75" s="4">
        <f>10.0643 * CHOOSE(CONTROL!$C$9, $C$13, 100%, $E$13) + CHOOSE(CONTROL!$C$28, 0.0003, 0)</f>
        <v>10.064599999999999</v>
      </c>
      <c r="D75" s="4">
        <f>15.7794 * CHOOSE(CONTROL!$C$9, $C$13, 100%, $E$13) + CHOOSE(CONTROL!$C$28, 0, 0)</f>
        <v>15.779400000000001</v>
      </c>
      <c r="E75" s="4">
        <f>60.0701544367188 * CHOOSE(CONTROL!$C$9, $C$13, 100%, $E$13) + CHOOSE(CONTROL!$C$28, 0, 0)</f>
        <v>60.070154436718802</v>
      </c>
    </row>
    <row r="76" spans="1:5" ht="15">
      <c r="A76" s="13">
        <v>44166</v>
      </c>
      <c r="B76" s="4">
        <f>10.2437 * CHOOSE(CONTROL!$C$9, $C$13, 100%, $E$13) + CHOOSE(CONTROL!$C$28, 0.0003, 0)</f>
        <v>10.244</v>
      </c>
      <c r="C76" s="4">
        <f>9.9312 * CHOOSE(CONTROL!$C$9, $C$13, 100%, $E$13) + CHOOSE(CONTROL!$C$28, 0.0003, 0)</f>
        <v>9.9314999999999998</v>
      </c>
      <c r="D76" s="4">
        <f>15.2856 * CHOOSE(CONTROL!$C$9, $C$13, 100%, $E$13) + CHOOSE(CONTROL!$C$28, 0, 0)</f>
        <v>15.285600000000001</v>
      </c>
      <c r="E76" s="4">
        <f>59.1293760834187 * CHOOSE(CONTROL!$C$9, $C$13, 100%, $E$13) + CHOOSE(CONTROL!$C$28, 0, 0)</f>
        <v>59.129376083418698</v>
      </c>
    </row>
    <row r="77" spans="1:5" ht="15">
      <c r="A77" s="13">
        <v>44197</v>
      </c>
      <c r="B77" s="4">
        <f>12.68 * CHOOSE(CONTROL!$C$9, $C$13, 100%, $E$13) + CHOOSE(CONTROL!$C$28, 0.0003, 0)</f>
        <v>12.680299999999999</v>
      </c>
      <c r="C77" s="4">
        <f>12.3675 * CHOOSE(CONTROL!$C$9, $C$13, 100%, $E$13) + CHOOSE(CONTROL!$C$28, 0.0003, 0)</f>
        <v>12.367799999999999</v>
      </c>
      <c r="D77" s="4">
        <f>17.7368 * CHOOSE(CONTROL!$C$9, $C$13, 100%, $E$13) + CHOOSE(CONTROL!$C$28, 0, 0)</f>
        <v>17.736799999999999</v>
      </c>
      <c r="E77" s="4">
        <f>71.7047853608682 * CHOOSE(CONTROL!$C$9, $C$13, 100%, $E$13) + CHOOSE(CONTROL!$C$28, 0, 0)</f>
        <v>71.7047853608682</v>
      </c>
    </row>
    <row r="78" spans="1:5" ht="15">
      <c r="A78" s="13">
        <v>44228</v>
      </c>
      <c r="B78" s="4">
        <f>12.9365 * CHOOSE(CONTROL!$C$9, $C$13, 100%, $E$13) + CHOOSE(CONTROL!$C$28, 0.0003, 0)</f>
        <v>12.9368</v>
      </c>
      <c r="C78" s="4">
        <f>12.624 * CHOOSE(CONTROL!$C$9, $C$13, 100%, $E$13) + CHOOSE(CONTROL!$C$28, 0.0003, 0)</f>
        <v>12.6243</v>
      </c>
      <c r="D78" s="4">
        <f>18.2963 * CHOOSE(CONTROL!$C$9, $C$13, 100%, $E$13) + CHOOSE(CONTROL!$C$28, 0, 0)</f>
        <v>18.296299999999999</v>
      </c>
      <c r="E78" s="4">
        <f>73.4073395474008 * CHOOSE(CONTROL!$C$9, $C$13, 100%, $E$13) + CHOOSE(CONTROL!$C$28, 0, 0)</f>
        <v>73.407339547400795</v>
      </c>
    </row>
    <row r="79" spans="1:5" ht="15">
      <c r="A79" s="13">
        <v>44256</v>
      </c>
      <c r="B79" s="4">
        <f>13.6103 * CHOOSE(CONTROL!$C$9, $C$13, 100%, $E$13) + CHOOSE(CONTROL!$C$28, 0.0003, 0)</f>
        <v>13.6106</v>
      </c>
      <c r="C79" s="4">
        <f>13.2978 * CHOOSE(CONTROL!$C$9, $C$13, 100%, $E$13) + CHOOSE(CONTROL!$C$28, 0.0003, 0)</f>
        <v>13.2981</v>
      </c>
      <c r="D79" s="4">
        <f>19.1723 * CHOOSE(CONTROL!$C$9, $C$13, 100%, $E$13) + CHOOSE(CONTROL!$C$28, 0, 0)</f>
        <v>19.1723</v>
      </c>
      <c r="E79" s="4">
        <f>77.8783373204597 * CHOOSE(CONTROL!$C$9, $C$13, 100%, $E$13) + CHOOSE(CONTROL!$C$28, 0, 0)</f>
        <v>77.878337320459707</v>
      </c>
    </row>
    <row r="80" spans="1:5" ht="15">
      <c r="A80" s="13">
        <v>44287</v>
      </c>
      <c r="B80" s="4">
        <f>14.089 * CHOOSE(CONTROL!$C$9, $C$13, 100%, $E$13) + CHOOSE(CONTROL!$C$28, 0.0003, 0)</f>
        <v>14.0893</v>
      </c>
      <c r="C80" s="4">
        <f>13.7765 * CHOOSE(CONTROL!$C$9, $C$13, 100%, $E$13) + CHOOSE(CONTROL!$C$28, 0.0003, 0)</f>
        <v>13.7768</v>
      </c>
      <c r="D80" s="4">
        <f>19.6768 * CHOOSE(CONTROL!$C$9, $C$13, 100%, $E$13) + CHOOSE(CONTROL!$C$28, 0, 0)</f>
        <v>19.6768</v>
      </c>
      <c r="E80" s="4">
        <f>81.0550408220977 * CHOOSE(CONTROL!$C$9, $C$13, 100%, $E$13) + CHOOSE(CONTROL!$C$28, 0, 0)</f>
        <v>81.055040822097695</v>
      </c>
    </row>
    <row r="81" spans="1:5" ht="15">
      <c r="A81" s="13">
        <v>44317</v>
      </c>
      <c r="B81" s="4">
        <f>14.3814 * CHOOSE(CONTROL!$C$9, $C$13, 100%, $E$13) + CHOOSE(CONTROL!$C$28, 0.0294, 0)</f>
        <v>14.4108</v>
      </c>
      <c r="C81" s="4">
        <f>14.0689 * CHOOSE(CONTROL!$C$9, $C$13, 100%, $E$13) + CHOOSE(CONTROL!$C$28, 0.0294, 0)</f>
        <v>14.0983</v>
      </c>
      <c r="D81" s="4">
        <f>19.4774 * CHOOSE(CONTROL!$C$9, $C$13, 100%, $E$13) + CHOOSE(CONTROL!$C$28, 0, 0)</f>
        <v>19.477399999999999</v>
      </c>
      <c r="E81" s="4">
        <f>82.9959305266413 * CHOOSE(CONTROL!$C$9, $C$13, 100%, $E$13) + CHOOSE(CONTROL!$C$28, 0, 0)</f>
        <v>82.995930526641303</v>
      </c>
    </row>
    <row r="82" spans="1:5" ht="15">
      <c r="A82" s="13">
        <v>44348</v>
      </c>
      <c r="B82" s="4">
        <f>14.421 * CHOOSE(CONTROL!$C$9, $C$13, 100%, $E$13) + CHOOSE(CONTROL!$C$28, 0.0294, 0)</f>
        <v>14.4504</v>
      </c>
      <c r="C82" s="4">
        <f>14.1085 * CHOOSE(CONTROL!$C$9, $C$13, 100%, $E$13) + CHOOSE(CONTROL!$C$28, 0.0294, 0)</f>
        <v>14.1379</v>
      </c>
      <c r="D82" s="4">
        <f>19.6398 * CHOOSE(CONTROL!$C$9, $C$13, 100%, $E$13) + CHOOSE(CONTROL!$C$28, 0, 0)</f>
        <v>19.639800000000001</v>
      </c>
      <c r="E82" s="4">
        <f>83.2585409585238 * CHOOSE(CONTROL!$C$9, $C$13, 100%, $E$13) + CHOOSE(CONTROL!$C$28, 0, 0)</f>
        <v>83.258540958523795</v>
      </c>
    </row>
    <row r="83" spans="1:5" ht="15">
      <c r="A83" s="13">
        <v>44378</v>
      </c>
      <c r="B83" s="4">
        <f>14.417 * CHOOSE(CONTROL!$C$9, $C$13, 100%, $E$13) + CHOOSE(CONTROL!$C$28, 0.0294, 0)</f>
        <v>14.446400000000001</v>
      </c>
      <c r="C83" s="4">
        <f>14.1045 * CHOOSE(CONTROL!$C$9, $C$13, 100%, $E$13) + CHOOSE(CONTROL!$C$28, 0.0294, 0)</f>
        <v>14.133900000000001</v>
      </c>
      <c r="D83" s="4">
        <f>19.9328 * CHOOSE(CONTROL!$C$9, $C$13, 100%, $E$13) + CHOOSE(CONTROL!$C$28, 0, 0)</f>
        <v>19.9328</v>
      </c>
      <c r="E83" s="4">
        <f>83.2320592343004 * CHOOSE(CONTROL!$C$9, $C$13, 100%, $E$13) + CHOOSE(CONTROL!$C$28, 0, 0)</f>
        <v>83.232059234300394</v>
      </c>
    </row>
    <row r="84" spans="1:5" ht="15">
      <c r="A84" s="13">
        <v>44409</v>
      </c>
      <c r="B84" s="4">
        <f>14.7173 * CHOOSE(CONTROL!$C$9, $C$13, 100%, $E$13) + CHOOSE(CONTROL!$C$28, 0.0294, 0)</f>
        <v>14.746700000000001</v>
      </c>
      <c r="C84" s="4">
        <f>14.4048 * CHOOSE(CONTROL!$C$9, $C$13, 100%, $E$13) + CHOOSE(CONTROL!$C$28, 0.0294, 0)</f>
        <v>14.434200000000001</v>
      </c>
      <c r="D84" s="4">
        <f>19.7393 * CHOOSE(CONTROL!$C$9, $C$13, 100%, $E$13) + CHOOSE(CONTROL!$C$28, 0, 0)</f>
        <v>19.7393</v>
      </c>
      <c r="E84" s="4">
        <f>85.2248089821149 * CHOOSE(CONTROL!$C$9, $C$13, 100%, $E$13) + CHOOSE(CONTROL!$C$28, 0, 0)</f>
        <v>85.224808982114894</v>
      </c>
    </row>
    <row r="85" spans="1:5" ht="15">
      <c r="A85" s="13">
        <v>44440</v>
      </c>
      <c r="B85" s="4">
        <f>14.2055 * CHOOSE(CONTROL!$C$9, $C$13, 100%, $E$13) + CHOOSE(CONTROL!$C$28, 0.0294, 0)</f>
        <v>14.234900000000001</v>
      </c>
      <c r="C85" s="4">
        <f>13.893 * CHOOSE(CONTROL!$C$9, $C$13, 100%, $E$13) + CHOOSE(CONTROL!$C$28, 0.0294, 0)</f>
        <v>13.922400000000001</v>
      </c>
      <c r="D85" s="4">
        <f>19.6479 * CHOOSE(CONTROL!$C$9, $C$13, 100%, $E$13) + CHOOSE(CONTROL!$C$28, 0, 0)</f>
        <v>19.6479</v>
      </c>
      <c r="E85" s="4">
        <f>81.8285278504576 * CHOOSE(CONTROL!$C$9, $C$13, 100%, $E$13) + CHOOSE(CONTROL!$C$28, 0, 0)</f>
        <v>81.828527850457604</v>
      </c>
    </row>
    <row r="86" spans="1:5" ht="15">
      <c r="A86" s="13">
        <v>44470</v>
      </c>
      <c r="B86" s="4">
        <f>13.7958 * CHOOSE(CONTROL!$C$9, $C$13, 100%, $E$13) + CHOOSE(CONTROL!$C$28, 0.0003, 0)</f>
        <v>13.796099999999999</v>
      </c>
      <c r="C86" s="4">
        <f>13.4833 * CHOOSE(CONTROL!$C$9, $C$13, 100%, $E$13) + CHOOSE(CONTROL!$C$28, 0.0003, 0)</f>
        <v>13.483599999999999</v>
      </c>
      <c r="D86" s="4">
        <f>19.4031 * CHOOSE(CONTROL!$C$9, $C$13, 100%, $E$13) + CHOOSE(CONTROL!$C$28, 0, 0)</f>
        <v>19.403099999999998</v>
      </c>
      <c r="E86" s="4">
        <f>79.1097374968501 * CHOOSE(CONTROL!$C$9, $C$13, 100%, $E$13) + CHOOSE(CONTROL!$C$28, 0, 0)</f>
        <v>79.109737496850101</v>
      </c>
    </row>
    <row r="87" spans="1:5" ht="15">
      <c r="A87" s="13">
        <v>44501</v>
      </c>
      <c r="B87" s="4">
        <f>13.532 * CHOOSE(CONTROL!$C$9, $C$13, 100%, $E$13) + CHOOSE(CONTROL!$C$28, 0.0003, 0)</f>
        <v>13.532299999999999</v>
      </c>
      <c r="C87" s="4">
        <f>13.2195 * CHOOSE(CONTROL!$C$9, $C$13, 100%, $E$13) + CHOOSE(CONTROL!$C$28, 0.0003, 0)</f>
        <v>13.219799999999999</v>
      </c>
      <c r="D87" s="4">
        <f>19.319 * CHOOSE(CONTROL!$C$9, $C$13, 100%, $E$13) + CHOOSE(CONTROL!$C$28, 0, 0)</f>
        <v>19.318999999999999</v>
      </c>
      <c r="E87" s="4">
        <f>77.3586334825745 * CHOOSE(CONTROL!$C$9, $C$13, 100%, $E$13) + CHOOSE(CONTROL!$C$28, 0, 0)</f>
        <v>77.358633482574504</v>
      </c>
    </row>
    <row r="88" spans="1:5" ht="15">
      <c r="A88" s="13">
        <v>44531</v>
      </c>
      <c r="B88" s="4">
        <f>13.3494 * CHOOSE(CONTROL!$C$9, $C$13, 100%, $E$13) + CHOOSE(CONTROL!$C$28, 0.0003, 0)</f>
        <v>13.349699999999999</v>
      </c>
      <c r="C88" s="4">
        <f>13.0369 * CHOOSE(CONTROL!$C$9, $C$13, 100%, $E$13) + CHOOSE(CONTROL!$C$28, 0.0003, 0)</f>
        <v>13.037199999999999</v>
      </c>
      <c r="D88" s="4">
        <f>18.6994 * CHOOSE(CONTROL!$C$9, $C$13, 100%, $E$13) + CHOOSE(CONTROL!$C$28, 0, 0)</f>
        <v>18.699400000000001</v>
      </c>
      <c r="E88" s="4">
        <f>76.1470945993518 * CHOOSE(CONTROL!$C$9, $C$13, 100%, $E$13) + CHOOSE(CONTROL!$C$28, 0, 0)</f>
        <v>76.147094599351803</v>
      </c>
    </row>
    <row r="89" spans="1:5" ht="15">
      <c r="A89" s="13">
        <v>44562</v>
      </c>
      <c r="B89" s="4">
        <f>13.2312 * CHOOSE(CONTROL!$C$9, $C$13, 100%, $E$13) + CHOOSE(CONTROL!$C$28, 0.0003, 0)</f>
        <v>13.231499999999999</v>
      </c>
      <c r="C89" s="4">
        <f>12.9187 * CHOOSE(CONTROL!$C$9, $C$13, 100%, $E$13) + CHOOSE(CONTROL!$C$28, 0.0003, 0)</f>
        <v>12.918999999999999</v>
      </c>
      <c r="D89" s="4">
        <f>18.4891 * CHOOSE(CONTROL!$C$9, $C$13, 100%, $E$13) + CHOOSE(CONTROL!$C$28, 0, 0)</f>
        <v>18.489100000000001</v>
      </c>
      <c r="E89" s="4">
        <f>75.1594060162188 * CHOOSE(CONTROL!$C$9, $C$13, 100%, $E$13) + CHOOSE(CONTROL!$C$28, 0, 0)</f>
        <v>75.159406016218796</v>
      </c>
    </row>
    <row r="90" spans="1:5" ht="15">
      <c r="A90" s="13">
        <v>44593</v>
      </c>
      <c r="B90" s="4">
        <f>13.5008 * CHOOSE(CONTROL!$C$9, $C$13, 100%, $E$13) + CHOOSE(CONTROL!$C$28, 0.0003, 0)</f>
        <v>13.501099999999999</v>
      </c>
      <c r="C90" s="4">
        <f>13.1883 * CHOOSE(CONTROL!$C$9, $C$13, 100%, $E$13) + CHOOSE(CONTROL!$C$28, 0.0003, 0)</f>
        <v>13.188599999999999</v>
      </c>
      <c r="D90" s="4">
        <f>19.0752 * CHOOSE(CONTROL!$C$9, $C$13, 100%, $E$13) + CHOOSE(CONTROL!$C$28, 0, 0)</f>
        <v>19.075199999999999</v>
      </c>
      <c r="E90" s="4">
        <f>76.9439865114566 * CHOOSE(CONTROL!$C$9, $C$13, 100%, $E$13) + CHOOSE(CONTROL!$C$28, 0, 0)</f>
        <v>76.9439865114566</v>
      </c>
    </row>
    <row r="91" spans="1:5" ht="15">
      <c r="A91" s="13">
        <v>44621</v>
      </c>
      <c r="B91" s="4">
        <f>14.2089 * CHOOSE(CONTROL!$C$9, $C$13, 100%, $E$13) + CHOOSE(CONTROL!$C$28, 0.0003, 0)</f>
        <v>14.209199999999999</v>
      </c>
      <c r="C91" s="4">
        <f>13.8964 * CHOOSE(CONTROL!$C$9, $C$13, 100%, $E$13) + CHOOSE(CONTROL!$C$28, 0.0003, 0)</f>
        <v>13.896699999999999</v>
      </c>
      <c r="D91" s="4">
        <f>19.9927 * CHOOSE(CONTROL!$C$9, $C$13, 100%, $E$13) + CHOOSE(CONTROL!$C$28, 0, 0)</f>
        <v>19.992699999999999</v>
      </c>
      <c r="E91" s="4">
        <f>81.6303897303181 * CHOOSE(CONTROL!$C$9, $C$13, 100%, $E$13) + CHOOSE(CONTROL!$C$28, 0, 0)</f>
        <v>81.6303897303181</v>
      </c>
    </row>
    <row r="92" spans="1:5" ht="15">
      <c r="A92" s="13">
        <v>44652</v>
      </c>
      <c r="B92" s="4">
        <f>14.712 * CHOOSE(CONTROL!$C$9, $C$13, 100%, $E$13) + CHOOSE(CONTROL!$C$28, 0.0003, 0)</f>
        <v>14.712299999999999</v>
      </c>
      <c r="C92" s="4">
        <f>14.3995 * CHOOSE(CONTROL!$C$9, $C$13, 100%, $E$13) + CHOOSE(CONTROL!$C$28, 0.0003, 0)</f>
        <v>14.399799999999999</v>
      </c>
      <c r="D92" s="4">
        <f>20.5212 * CHOOSE(CONTROL!$C$9, $C$13, 100%, $E$13) + CHOOSE(CONTROL!$C$28, 0, 0)</f>
        <v>20.5212</v>
      </c>
      <c r="E92" s="4">
        <f>84.9601416718538 * CHOOSE(CONTROL!$C$9, $C$13, 100%, $E$13) + CHOOSE(CONTROL!$C$28, 0, 0)</f>
        <v>84.960141671853805</v>
      </c>
    </row>
    <row r="93" spans="1:5" ht="15">
      <c r="A93" s="13">
        <v>44682</v>
      </c>
      <c r="B93" s="4">
        <f>15.0194 * CHOOSE(CONTROL!$C$9, $C$13, 100%, $E$13) + CHOOSE(CONTROL!$C$28, 0.0294, 0)</f>
        <v>15.0488</v>
      </c>
      <c r="C93" s="4">
        <f>14.7069 * CHOOSE(CONTROL!$C$9, $C$13, 100%, $E$13) + CHOOSE(CONTROL!$C$28, 0.0294, 0)</f>
        <v>14.7363</v>
      </c>
      <c r="D93" s="4">
        <f>20.3124 * CHOOSE(CONTROL!$C$9, $C$13, 100%, $E$13) + CHOOSE(CONTROL!$C$28, 0, 0)</f>
        <v>20.3124</v>
      </c>
      <c r="E93" s="4">
        <f>86.9945403051157 * CHOOSE(CONTROL!$C$9, $C$13, 100%, $E$13) + CHOOSE(CONTROL!$C$28, 0, 0)</f>
        <v>86.994540305115706</v>
      </c>
    </row>
    <row r="94" spans="1:5" ht="15">
      <c r="A94" s="13">
        <v>44713</v>
      </c>
      <c r="B94" s="4">
        <f>15.061 * CHOOSE(CONTROL!$C$9, $C$13, 100%, $E$13) + CHOOSE(CONTROL!$C$28, 0.0294, 0)</f>
        <v>15.090400000000001</v>
      </c>
      <c r="C94" s="4">
        <f>14.7485 * CHOOSE(CONTROL!$C$9, $C$13, 100%, $E$13) + CHOOSE(CONTROL!$C$28, 0.0294, 0)</f>
        <v>14.777900000000001</v>
      </c>
      <c r="D94" s="4">
        <f>20.4825 * CHOOSE(CONTROL!$C$9, $C$13, 100%, $E$13) + CHOOSE(CONTROL!$C$28, 0, 0)</f>
        <v>20.482500000000002</v>
      </c>
      <c r="E94" s="4">
        <f>87.2698028831239 * CHOOSE(CONTROL!$C$9, $C$13, 100%, $E$13) + CHOOSE(CONTROL!$C$28, 0, 0)</f>
        <v>87.269802883123901</v>
      </c>
    </row>
    <row r="95" spans="1:5" ht="15">
      <c r="A95" s="13">
        <v>44743</v>
      </c>
      <c r="B95" s="4">
        <f>15.0568 * CHOOSE(CONTROL!$C$9, $C$13, 100%, $E$13) + CHOOSE(CONTROL!$C$28, 0.0294, 0)</f>
        <v>15.086200000000002</v>
      </c>
      <c r="C95" s="4">
        <f>14.7443 * CHOOSE(CONTROL!$C$9, $C$13, 100%, $E$13) + CHOOSE(CONTROL!$C$28, 0.0294, 0)</f>
        <v>14.773700000000002</v>
      </c>
      <c r="D95" s="4">
        <f>20.7894 * CHOOSE(CONTROL!$C$9, $C$13, 100%, $E$13) + CHOOSE(CONTROL!$C$28, 0, 0)</f>
        <v>20.789400000000001</v>
      </c>
      <c r="E95" s="4">
        <f>87.2420453122323 * CHOOSE(CONTROL!$C$9, $C$13, 100%, $E$13) + CHOOSE(CONTROL!$C$28, 0, 0)</f>
        <v>87.242045312232307</v>
      </c>
    </row>
    <row r="96" spans="1:5" ht="15">
      <c r="A96" s="13">
        <v>44774</v>
      </c>
      <c r="B96" s="4">
        <f>15.3724 * CHOOSE(CONTROL!$C$9, $C$13, 100%, $E$13) + CHOOSE(CONTROL!$C$28, 0.0294, 0)</f>
        <v>15.401800000000001</v>
      </c>
      <c r="C96" s="4">
        <f>15.0599 * CHOOSE(CONTROL!$C$9, $C$13, 100%, $E$13) + CHOOSE(CONTROL!$C$28, 0.0294, 0)</f>
        <v>15.089300000000001</v>
      </c>
      <c r="D96" s="4">
        <f>20.5867 * CHOOSE(CONTROL!$C$9, $C$13, 100%, $E$13) + CHOOSE(CONTROL!$C$28, 0, 0)</f>
        <v>20.5867</v>
      </c>
      <c r="E96" s="4">
        <f>89.3308025218236 * CHOOSE(CONTROL!$C$9, $C$13, 100%, $E$13) + CHOOSE(CONTROL!$C$28, 0, 0)</f>
        <v>89.3308025218236</v>
      </c>
    </row>
    <row r="97" spans="1:5" ht="15">
      <c r="A97" s="13">
        <v>44805</v>
      </c>
      <c r="B97" s="4">
        <f>14.8345 * CHOOSE(CONTROL!$C$9, $C$13, 100%, $E$13) + CHOOSE(CONTROL!$C$28, 0.0294, 0)</f>
        <v>14.863900000000001</v>
      </c>
      <c r="C97" s="4">
        <f>14.522 * CHOOSE(CONTROL!$C$9, $C$13, 100%, $E$13) + CHOOSE(CONTROL!$C$28, 0.0294, 0)</f>
        <v>14.551400000000001</v>
      </c>
      <c r="D97" s="4">
        <f>20.491 * CHOOSE(CONTROL!$C$9, $C$13, 100%, $E$13) + CHOOSE(CONTROL!$C$28, 0, 0)</f>
        <v>20.491</v>
      </c>
      <c r="E97" s="4">
        <f>85.7708940549787 * CHOOSE(CONTROL!$C$9, $C$13, 100%, $E$13) + CHOOSE(CONTROL!$C$28, 0, 0)</f>
        <v>85.770894054978697</v>
      </c>
    </row>
    <row r="98" spans="1:5" ht="15">
      <c r="A98" s="13">
        <v>44835</v>
      </c>
      <c r="B98" s="4">
        <f>14.4039 * CHOOSE(CONTROL!$C$9, $C$13, 100%, $E$13) + CHOOSE(CONTROL!$C$28, 0.0003, 0)</f>
        <v>14.404199999999999</v>
      </c>
      <c r="C98" s="4">
        <f>14.0914 * CHOOSE(CONTROL!$C$9, $C$13, 100%, $E$13) + CHOOSE(CONTROL!$C$28, 0.0003, 0)</f>
        <v>14.091699999999999</v>
      </c>
      <c r="D98" s="4">
        <f>20.2346 * CHOOSE(CONTROL!$C$9, $C$13, 100%, $E$13) + CHOOSE(CONTROL!$C$28, 0, 0)</f>
        <v>20.2346</v>
      </c>
      <c r="E98" s="4">
        <f>82.9211167767765 * CHOOSE(CONTROL!$C$9, $C$13, 100%, $E$13) + CHOOSE(CONTROL!$C$28, 0, 0)</f>
        <v>82.921116776776501</v>
      </c>
    </row>
    <row r="99" spans="1:5" ht="15">
      <c r="A99" s="13">
        <v>44866</v>
      </c>
      <c r="B99" s="4">
        <f>14.1266 * CHOOSE(CONTROL!$C$9, $C$13, 100%, $E$13) + CHOOSE(CONTROL!$C$28, 0.0003, 0)</f>
        <v>14.126899999999999</v>
      </c>
      <c r="C99" s="4">
        <f>13.8141 * CHOOSE(CONTROL!$C$9, $C$13, 100%, $E$13) + CHOOSE(CONTROL!$C$28, 0.0003, 0)</f>
        <v>13.814399999999999</v>
      </c>
      <c r="D99" s="4">
        <f>20.1464 * CHOOSE(CONTROL!$C$9, $C$13, 100%, $E$13) + CHOOSE(CONTROL!$C$28, 0, 0)</f>
        <v>20.1464</v>
      </c>
      <c r="E99" s="4">
        <f>81.0856474015709 * CHOOSE(CONTROL!$C$9, $C$13, 100%, $E$13) + CHOOSE(CONTROL!$C$28, 0, 0)</f>
        <v>81.085647401570895</v>
      </c>
    </row>
    <row r="100" spans="1:5" ht="15">
      <c r="A100" s="13">
        <v>44896</v>
      </c>
      <c r="B100" s="4">
        <f>13.9347 * CHOOSE(CONTROL!$C$9, $C$13, 100%, $E$13) + CHOOSE(CONTROL!$C$28, 0.0003, 0)</f>
        <v>13.934999999999999</v>
      </c>
      <c r="C100" s="4">
        <f>13.6222 * CHOOSE(CONTROL!$C$9, $C$13, 100%, $E$13) + CHOOSE(CONTROL!$C$28, 0.0003, 0)</f>
        <v>13.622499999999999</v>
      </c>
      <c r="D100" s="4">
        <f>19.4974 * CHOOSE(CONTROL!$C$9, $C$13, 100%, $E$13) + CHOOSE(CONTROL!$C$28, 0, 0)</f>
        <v>19.497399999999999</v>
      </c>
      <c r="E100" s="4">
        <f>79.8157385332812 * CHOOSE(CONTROL!$C$9, $C$13, 100%, $E$13) + CHOOSE(CONTROL!$C$28, 0, 0)</f>
        <v>79.815738533281205</v>
      </c>
    </row>
    <row r="101" spans="1:5" ht="15">
      <c r="A101" s="13">
        <v>44927</v>
      </c>
      <c r="B101" s="4">
        <f>13.8649 * CHOOSE(CONTROL!$C$9, $C$13, 100%, $E$13) + CHOOSE(CONTROL!$C$28, 0.0003, 0)</f>
        <v>13.8652</v>
      </c>
      <c r="C101" s="4">
        <f>13.5524 * CHOOSE(CONTROL!$C$9, $C$13, 100%, $E$13) + CHOOSE(CONTROL!$C$28, 0.0003, 0)</f>
        <v>13.5527</v>
      </c>
      <c r="D101" s="4">
        <f>19.3308 * CHOOSE(CONTROL!$C$9, $C$13, 100%, $E$13) + CHOOSE(CONTROL!$C$28, 0, 0)</f>
        <v>19.3308</v>
      </c>
      <c r="E101" s="4">
        <f>78.7697917303344 * CHOOSE(CONTROL!$C$9, $C$13, 100%, $E$13) + CHOOSE(CONTROL!$C$28, 0, 0)</f>
        <v>78.769791730334404</v>
      </c>
    </row>
    <row r="102" spans="1:5" ht="15">
      <c r="A102" s="13">
        <v>44958</v>
      </c>
      <c r="B102" s="4">
        <f>14.1496 * CHOOSE(CONTROL!$C$9, $C$13, 100%, $E$13) + CHOOSE(CONTROL!$C$28, 0.0003, 0)</f>
        <v>14.149899999999999</v>
      </c>
      <c r="C102" s="4">
        <f>13.8371 * CHOOSE(CONTROL!$C$9, $C$13, 100%, $E$13) + CHOOSE(CONTROL!$C$28, 0.0003, 0)</f>
        <v>13.837399999999999</v>
      </c>
      <c r="D102" s="4">
        <f>19.9466 * CHOOSE(CONTROL!$C$9, $C$13, 100%, $E$13) + CHOOSE(CONTROL!$C$28, 0, 0)</f>
        <v>19.9466</v>
      </c>
      <c r="E102" s="4">
        <f>80.6400970106285 * CHOOSE(CONTROL!$C$9, $C$13, 100%, $E$13) + CHOOSE(CONTROL!$C$28, 0, 0)</f>
        <v>80.640097010628494</v>
      </c>
    </row>
    <row r="103" spans="1:5" ht="15">
      <c r="A103" s="13">
        <v>44986</v>
      </c>
      <c r="B103" s="4">
        <f>14.8972 * CHOOSE(CONTROL!$C$9, $C$13, 100%, $E$13) + CHOOSE(CONTROL!$C$28, 0.0003, 0)</f>
        <v>14.897499999999999</v>
      </c>
      <c r="C103" s="4">
        <f>14.5847 * CHOOSE(CONTROL!$C$9, $C$13, 100%, $E$13) + CHOOSE(CONTROL!$C$28, 0.0003, 0)</f>
        <v>14.584999999999999</v>
      </c>
      <c r="D103" s="4">
        <f>20.9106 * CHOOSE(CONTROL!$C$9, $C$13, 100%, $E$13) + CHOOSE(CONTROL!$C$28, 0, 0)</f>
        <v>20.910599999999999</v>
      </c>
      <c r="E103" s="4">
        <f>85.5516180707395 * CHOOSE(CONTROL!$C$9, $C$13, 100%, $E$13) + CHOOSE(CONTROL!$C$28, 0, 0)</f>
        <v>85.551618070739494</v>
      </c>
    </row>
    <row r="104" spans="1:5" ht="15">
      <c r="A104" s="13">
        <v>45017</v>
      </c>
      <c r="B104" s="4">
        <f>15.4284 * CHOOSE(CONTROL!$C$9, $C$13, 100%, $E$13) + CHOOSE(CONTROL!$C$28, 0.0003, 0)</f>
        <v>15.428699999999999</v>
      </c>
      <c r="C104" s="4">
        <f>15.1159 * CHOOSE(CONTROL!$C$9, $C$13, 100%, $E$13) + CHOOSE(CONTROL!$C$28, 0.0003, 0)</f>
        <v>15.116199999999999</v>
      </c>
      <c r="D104" s="4">
        <f>21.4659 * CHOOSE(CONTROL!$C$9, $C$13, 100%, $E$13) + CHOOSE(CONTROL!$C$28, 0, 0)</f>
        <v>21.465900000000001</v>
      </c>
      <c r="E104" s="4">
        <f>89.0413192385726 * CHOOSE(CONTROL!$C$9, $C$13, 100%, $E$13) + CHOOSE(CONTROL!$C$28, 0, 0)</f>
        <v>89.041319238572598</v>
      </c>
    </row>
    <row r="105" spans="1:5" ht="15">
      <c r="A105" s="13">
        <v>45047</v>
      </c>
      <c r="B105" s="4">
        <f>15.7529 * CHOOSE(CONTROL!$C$9, $C$13, 100%, $E$13) + CHOOSE(CONTROL!$C$28, 0.0294, 0)</f>
        <v>15.782300000000001</v>
      </c>
      <c r="C105" s="4">
        <f>15.4404 * CHOOSE(CONTROL!$C$9, $C$13, 100%, $E$13) + CHOOSE(CONTROL!$C$28, 0.0294, 0)</f>
        <v>15.469800000000001</v>
      </c>
      <c r="D105" s="4">
        <f>21.2464 * CHOOSE(CONTROL!$C$9, $C$13, 100%, $E$13) + CHOOSE(CONTROL!$C$28, 0, 0)</f>
        <v>21.246400000000001</v>
      </c>
      <c r="E105" s="4">
        <f>91.1734430156543 * CHOOSE(CONTROL!$C$9, $C$13, 100%, $E$13) + CHOOSE(CONTROL!$C$28, 0, 0)</f>
        <v>91.1734430156543</v>
      </c>
    </row>
    <row r="106" spans="1:5" ht="15">
      <c r="A106" s="13">
        <v>45078</v>
      </c>
      <c r="B106" s="4">
        <f>15.7968 * CHOOSE(CONTROL!$C$9, $C$13, 100%, $E$13) + CHOOSE(CONTROL!$C$28, 0.0294, 0)</f>
        <v>15.8262</v>
      </c>
      <c r="C106" s="4">
        <f>15.4843 * CHOOSE(CONTROL!$C$9, $C$13, 100%, $E$13) + CHOOSE(CONTROL!$C$28, 0.0294, 0)</f>
        <v>15.5137</v>
      </c>
      <c r="D106" s="4">
        <f>21.4251 * CHOOSE(CONTROL!$C$9, $C$13, 100%, $E$13) + CHOOSE(CONTROL!$C$28, 0, 0)</f>
        <v>21.4251</v>
      </c>
      <c r="E106" s="4">
        <f>91.461928211189 * CHOOSE(CONTROL!$C$9, $C$13, 100%, $E$13) + CHOOSE(CONTROL!$C$28, 0, 0)</f>
        <v>91.461928211189004</v>
      </c>
    </row>
    <row r="107" spans="1:5" ht="15">
      <c r="A107" s="13">
        <v>45108</v>
      </c>
      <c r="B107" s="4">
        <f>15.7924 * CHOOSE(CONTROL!$C$9, $C$13, 100%, $E$13) + CHOOSE(CONTROL!$C$28, 0.0294, 0)</f>
        <v>15.821800000000001</v>
      </c>
      <c r="C107" s="4">
        <f>15.4799 * CHOOSE(CONTROL!$C$9, $C$13, 100%, $E$13) + CHOOSE(CONTROL!$C$28, 0.0294, 0)</f>
        <v>15.509300000000001</v>
      </c>
      <c r="D107" s="4">
        <f>21.7476 * CHOOSE(CONTROL!$C$9, $C$13, 100%, $E$13) + CHOOSE(CONTROL!$C$28, 0, 0)</f>
        <v>21.747599999999998</v>
      </c>
      <c r="E107" s="4">
        <f>91.4328372671015 * CHOOSE(CONTROL!$C$9, $C$13, 100%, $E$13) + CHOOSE(CONTROL!$C$28, 0, 0)</f>
        <v>91.432837267101505</v>
      </c>
    </row>
    <row r="108" spans="1:5" ht="15">
      <c r="A108" s="13">
        <v>45139</v>
      </c>
      <c r="B108" s="4">
        <f>16.1256 * CHOOSE(CONTROL!$C$9, $C$13, 100%, $E$13) + CHOOSE(CONTROL!$C$28, 0.0294, 0)</f>
        <v>16.154999999999998</v>
      </c>
      <c r="C108" s="4">
        <f>15.8131 * CHOOSE(CONTROL!$C$9, $C$13, 100%, $E$13) + CHOOSE(CONTROL!$C$28, 0.0294, 0)</f>
        <v>15.842500000000001</v>
      </c>
      <c r="D108" s="4">
        <f>21.5346 * CHOOSE(CONTROL!$C$9, $C$13, 100%, $E$13) + CHOOSE(CONTROL!$C$28, 0, 0)</f>
        <v>21.534600000000001</v>
      </c>
      <c r="E108" s="4">
        <f>93.621930809688 * CHOOSE(CONTROL!$C$9, $C$13, 100%, $E$13) + CHOOSE(CONTROL!$C$28, 0, 0)</f>
        <v>93.621930809687996</v>
      </c>
    </row>
    <row r="109" spans="1:5" ht="15">
      <c r="A109" s="13">
        <v>45170</v>
      </c>
      <c r="B109" s="4">
        <f>15.5577 * CHOOSE(CONTROL!$C$9, $C$13, 100%, $E$13) + CHOOSE(CONTROL!$C$28, 0.0294, 0)</f>
        <v>15.587100000000001</v>
      </c>
      <c r="C109" s="4">
        <f>15.2452 * CHOOSE(CONTROL!$C$9, $C$13, 100%, $E$13) + CHOOSE(CONTROL!$C$28, 0.0294, 0)</f>
        <v>15.274600000000001</v>
      </c>
      <c r="D109" s="4">
        <f>21.434 * CHOOSE(CONTROL!$C$9, $C$13, 100%, $E$13) + CHOOSE(CONTROL!$C$28, 0, 0)</f>
        <v>21.434000000000001</v>
      </c>
      <c r="E109" s="4">
        <f>89.8910172304625 * CHOOSE(CONTROL!$C$9, $C$13, 100%, $E$13) + CHOOSE(CONTROL!$C$28, 0, 0)</f>
        <v>89.891017230462495</v>
      </c>
    </row>
    <row r="110" spans="1:5" ht="15">
      <c r="A110" s="13">
        <v>45200</v>
      </c>
      <c r="B110" s="4">
        <f>15.1031 * CHOOSE(CONTROL!$C$9, $C$13, 100%, $E$13) + CHOOSE(CONTROL!$C$28, 0.0003, 0)</f>
        <v>15.103399999999999</v>
      </c>
      <c r="C110" s="4">
        <f>14.7906 * CHOOSE(CONTROL!$C$9, $C$13, 100%, $E$13) + CHOOSE(CONTROL!$C$28, 0.0003, 0)</f>
        <v>14.790899999999999</v>
      </c>
      <c r="D110" s="4">
        <f>21.1646 * CHOOSE(CONTROL!$C$9, $C$13, 100%, $E$13) + CHOOSE(CONTROL!$C$28, 0, 0)</f>
        <v>21.1646</v>
      </c>
      <c r="E110" s="4">
        <f>86.9043469708095 * CHOOSE(CONTROL!$C$9, $C$13, 100%, $E$13) + CHOOSE(CONTROL!$C$28, 0, 0)</f>
        <v>86.904346970809499</v>
      </c>
    </row>
    <row r="111" spans="1:5" ht="15">
      <c r="A111" s="13">
        <v>45231</v>
      </c>
      <c r="B111" s="4">
        <f>14.8103 * CHOOSE(CONTROL!$C$9, $C$13, 100%, $E$13) + CHOOSE(CONTROL!$C$28, 0.0003, 0)</f>
        <v>14.810599999999999</v>
      </c>
      <c r="C111" s="4">
        <f>14.4978 * CHOOSE(CONTROL!$C$9, $C$13, 100%, $E$13) + CHOOSE(CONTROL!$C$28, 0.0003, 0)</f>
        <v>14.498099999999999</v>
      </c>
      <c r="D111" s="4">
        <f>21.072 * CHOOSE(CONTROL!$C$9, $C$13, 100%, $E$13) + CHOOSE(CONTROL!$C$28, 0, 0)</f>
        <v>21.071999999999999</v>
      </c>
      <c r="E111" s="4">
        <f>84.9807082930217 * CHOOSE(CONTROL!$C$9, $C$13, 100%, $E$13) + CHOOSE(CONTROL!$C$28, 0, 0)</f>
        <v>84.980708293021706</v>
      </c>
    </row>
    <row r="112" spans="1:5" ht="15">
      <c r="A112" s="13">
        <v>45261</v>
      </c>
      <c r="B112" s="4">
        <f>14.6077 * CHOOSE(CONTROL!$C$9, $C$13, 100%, $E$13) + CHOOSE(CONTROL!$C$28, 0.0003, 0)</f>
        <v>14.607999999999999</v>
      </c>
      <c r="C112" s="4">
        <f>14.2952 * CHOOSE(CONTROL!$C$9, $C$13, 100%, $E$13) + CHOOSE(CONTROL!$C$28, 0.0003, 0)</f>
        <v>14.295499999999999</v>
      </c>
      <c r="D112" s="4">
        <f>20.3902 * CHOOSE(CONTROL!$C$9, $C$13, 100%, $E$13) + CHOOSE(CONTROL!$C$28, 0, 0)</f>
        <v>20.3902</v>
      </c>
      <c r="E112" s="4">
        <f>83.6497976010173 * CHOOSE(CONTROL!$C$9, $C$13, 100%, $E$13) + CHOOSE(CONTROL!$C$28, 0, 0)</f>
        <v>83.649797601017298</v>
      </c>
    </row>
    <row r="113" spans="1:5" ht="15">
      <c r="A113" s="13">
        <v>45292</v>
      </c>
      <c r="B113" s="4">
        <f>14.4786 * CHOOSE(CONTROL!$C$9, $C$13, 100%, $E$13) + CHOOSE(CONTROL!$C$28, 0.0003, 0)</f>
        <v>14.478899999999999</v>
      </c>
      <c r="C113" s="4">
        <f>14.1661 * CHOOSE(CONTROL!$C$9, $C$13, 100%, $E$13) + CHOOSE(CONTROL!$C$28, 0.0003, 0)</f>
        <v>14.166399999999999</v>
      </c>
      <c r="D113" s="4">
        <f>20.5056 * CHOOSE(CONTROL!$C$9, $C$13, 100%, $E$13) + CHOOSE(CONTROL!$C$28, 0, 0)</f>
        <v>20.505600000000001</v>
      </c>
      <c r="E113" s="4">
        <f>82.4886558209195 * CHOOSE(CONTROL!$C$9, $C$13, 100%, $E$13) + CHOOSE(CONTROL!$C$28, 0, 0)</f>
        <v>82.488655820919504</v>
      </c>
    </row>
    <row r="114" spans="1:5" ht="15">
      <c r="A114" s="13">
        <v>45323</v>
      </c>
      <c r="B114" s="4">
        <f>14.7778 * CHOOSE(CONTROL!$C$9, $C$13, 100%, $E$13) + CHOOSE(CONTROL!$C$28, 0.0003, 0)</f>
        <v>14.778099999999998</v>
      </c>
      <c r="C114" s="4">
        <f>14.4653 * CHOOSE(CONTROL!$C$9, $C$13, 100%, $E$13) + CHOOSE(CONTROL!$C$28, 0.0003, 0)</f>
        <v>14.465599999999998</v>
      </c>
      <c r="D114" s="4">
        <f>21.1629 * CHOOSE(CONTROL!$C$9, $C$13, 100%, $E$13) + CHOOSE(CONTROL!$C$28, 0, 0)</f>
        <v>21.1629</v>
      </c>
      <c r="E114" s="4">
        <f>84.4472615904306 * CHOOSE(CONTROL!$C$9, $C$13, 100%, $E$13) + CHOOSE(CONTROL!$C$28, 0, 0)</f>
        <v>84.4472615904306</v>
      </c>
    </row>
    <row r="115" spans="1:5" ht="15">
      <c r="A115" s="13">
        <v>45352</v>
      </c>
      <c r="B115" s="4">
        <f>15.5637 * CHOOSE(CONTROL!$C$9, $C$13, 100%, $E$13) + CHOOSE(CONTROL!$C$28, 0.0003, 0)</f>
        <v>15.564</v>
      </c>
      <c r="C115" s="4">
        <f>15.2512 * CHOOSE(CONTROL!$C$9, $C$13, 100%, $E$13) + CHOOSE(CONTROL!$C$28, 0.0003, 0)</f>
        <v>15.2515</v>
      </c>
      <c r="D115" s="4">
        <f>22.1918 * CHOOSE(CONTROL!$C$9, $C$13, 100%, $E$13) + CHOOSE(CONTROL!$C$28, 0, 0)</f>
        <v>22.191800000000001</v>
      </c>
      <c r="E115" s="4">
        <f>89.5906644277987 * CHOOSE(CONTROL!$C$9, $C$13, 100%, $E$13) + CHOOSE(CONTROL!$C$28, 0, 0)</f>
        <v>89.5906644277987</v>
      </c>
    </row>
    <row r="116" spans="1:5" ht="15">
      <c r="A116" s="13">
        <v>45383</v>
      </c>
      <c r="B116" s="4">
        <f>16.1221 * CHOOSE(CONTROL!$C$9, $C$13, 100%, $E$13) + CHOOSE(CONTROL!$C$28, 0.0003, 0)</f>
        <v>16.122399999999999</v>
      </c>
      <c r="C116" s="4">
        <f>15.8096 * CHOOSE(CONTROL!$C$9, $C$13, 100%, $E$13) + CHOOSE(CONTROL!$C$28, 0.0003, 0)</f>
        <v>15.809899999999999</v>
      </c>
      <c r="D116" s="4">
        <f>22.7845 * CHOOSE(CONTROL!$C$9, $C$13, 100%, $E$13) + CHOOSE(CONTROL!$C$28, 0, 0)</f>
        <v>22.784500000000001</v>
      </c>
      <c r="E116" s="4">
        <f>93.2451206886039 * CHOOSE(CONTROL!$C$9, $C$13, 100%, $E$13) + CHOOSE(CONTROL!$C$28, 0, 0)</f>
        <v>93.245120688603905</v>
      </c>
    </row>
    <row r="117" spans="1:5" ht="15">
      <c r="A117" s="13">
        <v>45413</v>
      </c>
      <c r="B117" s="4">
        <f>16.4632 * CHOOSE(CONTROL!$C$9, $C$13, 100%, $E$13) + CHOOSE(CONTROL!$C$28, 0.0294, 0)</f>
        <v>16.492599999999999</v>
      </c>
      <c r="C117" s="4">
        <f>16.1507 * CHOOSE(CONTROL!$C$9, $C$13, 100%, $E$13) + CHOOSE(CONTROL!$C$28, 0.0294, 0)</f>
        <v>16.180099999999999</v>
      </c>
      <c r="D117" s="4">
        <f>22.5503 * CHOOSE(CONTROL!$C$9, $C$13, 100%, $E$13) + CHOOSE(CONTROL!$C$28, 0, 0)</f>
        <v>22.5503</v>
      </c>
      <c r="E117" s="4">
        <f>95.4779058788631 * CHOOSE(CONTROL!$C$9, $C$13, 100%, $E$13) + CHOOSE(CONTROL!$C$28, 0, 0)</f>
        <v>95.477905878863098</v>
      </c>
    </row>
    <row r="118" spans="1:5" ht="15">
      <c r="A118" s="13">
        <v>45444</v>
      </c>
      <c r="B118" s="4">
        <f>16.5094 * CHOOSE(CONTROL!$C$9, $C$13, 100%, $E$13) + CHOOSE(CONTROL!$C$28, 0.0294, 0)</f>
        <v>16.538799999999998</v>
      </c>
      <c r="C118" s="4">
        <f>16.1969 * CHOOSE(CONTROL!$C$9, $C$13, 100%, $E$13) + CHOOSE(CONTROL!$C$28, 0.0294, 0)</f>
        <v>16.226299999999998</v>
      </c>
      <c r="D118" s="4">
        <f>22.741 * CHOOSE(CONTROL!$C$9, $C$13, 100%, $E$13) + CHOOSE(CONTROL!$C$28, 0, 0)</f>
        <v>22.741</v>
      </c>
      <c r="E118" s="4">
        <f>95.7800109813541 * CHOOSE(CONTROL!$C$9, $C$13, 100%, $E$13) + CHOOSE(CONTROL!$C$28, 0, 0)</f>
        <v>95.780010981354096</v>
      </c>
    </row>
    <row r="119" spans="1:5" ht="15">
      <c r="A119" s="13">
        <v>45474</v>
      </c>
      <c r="B119" s="4">
        <f>16.5047 * CHOOSE(CONTROL!$C$9, $C$13, 100%, $E$13) + CHOOSE(CONTROL!$C$28, 0.0294, 0)</f>
        <v>16.534099999999999</v>
      </c>
      <c r="C119" s="4">
        <f>16.1922 * CHOOSE(CONTROL!$C$9, $C$13, 100%, $E$13) + CHOOSE(CONTROL!$C$28, 0.0294, 0)</f>
        <v>16.221599999999999</v>
      </c>
      <c r="D119" s="4">
        <f>23.0852 * CHOOSE(CONTROL!$C$9, $C$13, 100%, $E$13) + CHOOSE(CONTROL!$C$28, 0, 0)</f>
        <v>23.0852</v>
      </c>
      <c r="E119" s="4">
        <f>95.749546601271 * CHOOSE(CONTROL!$C$9, $C$13, 100%, $E$13) + CHOOSE(CONTROL!$C$28, 0, 0)</f>
        <v>95.749546601271007</v>
      </c>
    </row>
    <row r="120" spans="1:5" ht="15">
      <c r="A120" s="13">
        <v>45505</v>
      </c>
      <c r="B120" s="4">
        <f>16.855 * CHOOSE(CONTROL!$C$9, $C$13, 100%, $E$13) + CHOOSE(CONTROL!$C$28, 0.0294, 0)</f>
        <v>16.884399999999999</v>
      </c>
      <c r="C120" s="4">
        <f>16.5425 * CHOOSE(CONTROL!$C$9, $C$13, 100%, $E$13) + CHOOSE(CONTROL!$C$28, 0.0294, 0)</f>
        <v>16.571899999999999</v>
      </c>
      <c r="D120" s="4">
        <f>22.8579 * CHOOSE(CONTROL!$C$9, $C$13, 100%, $E$13) + CHOOSE(CONTROL!$C$28, 0, 0)</f>
        <v>22.857900000000001</v>
      </c>
      <c r="E120" s="4">
        <f>98.0419912025264 * CHOOSE(CONTROL!$C$9, $C$13, 100%, $E$13) + CHOOSE(CONTROL!$C$28, 0, 0)</f>
        <v>98.041991202526404</v>
      </c>
    </row>
    <row r="121" spans="1:5" ht="15">
      <c r="A121" s="13">
        <v>45536</v>
      </c>
      <c r="B121" s="4">
        <f>16.258 * CHOOSE(CONTROL!$C$9, $C$13, 100%, $E$13) + CHOOSE(CONTROL!$C$28, 0.0294, 0)</f>
        <v>16.287399999999998</v>
      </c>
      <c r="C121" s="4">
        <f>15.9455 * CHOOSE(CONTROL!$C$9, $C$13, 100%, $E$13) + CHOOSE(CONTROL!$C$28, 0.0294, 0)</f>
        <v>15.9749</v>
      </c>
      <c r="D121" s="4">
        <f>22.7505 * CHOOSE(CONTROL!$C$9, $C$13, 100%, $E$13) + CHOOSE(CONTROL!$C$28, 0, 0)</f>
        <v>22.750499999999999</v>
      </c>
      <c r="E121" s="4">
        <f>94.1349344568653 * CHOOSE(CONTROL!$C$9, $C$13, 100%, $E$13) + CHOOSE(CONTROL!$C$28, 0, 0)</f>
        <v>94.134934456865295</v>
      </c>
    </row>
    <row r="122" spans="1:5" ht="15">
      <c r="A122" s="13">
        <v>45566</v>
      </c>
      <c r="B122" s="4">
        <f>15.7801 * CHOOSE(CONTROL!$C$9, $C$13, 100%, $E$13) + CHOOSE(CONTROL!$C$28, 0.0003, 0)</f>
        <v>15.780399999999998</v>
      </c>
      <c r="C122" s="4">
        <f>15.4676 * CHOOSE(CONTROL!$C$9, $C$13, 100%, $E$13) + CHOOSE(CONTROL!$C$28, 0.0003, 0)</f>
        <v>15.467899999999998</v>
      </c>
      <c r="D122" s="4">
        <f>22.463 * CHOOSE(CONTROL!$C$9, $C$13, 100%, $E$13) + CHOOSE(CONTROL!$C$28, 0, 0)</f>
        <v>22.463000000000001</v>
      </c>
      <c r="E122" s="4">
        <f>91.0072581016641 * CHOOSE(CONTROL!$C$9, $C$13, 100%, $E$13) + CHOOSE(CONTROL!$C$28, 0, 0)</f>
        <v>91.007258101664107</v>
      </c>
    </row>
    <row r="123" spans="1:5" ht="15">
      <c r="A123" s="13">
        <v>45597</v>
      </c>
      <c r="B123" s="4">
        <f>15.4723 * CHOOSE(CONTROL!$C$9, $C$13, 100%, $E$13) + CHOOSE(CONTROL!$C$28, 0.0003, 0)</f>
        <v>15.4726</v>
      </c>
      <c r="C123" s="4">
        <f>15.1598 * CHOOSE(CONTROL!$C$9, $C$13, 100%, $E$13) + CHOOSE(CONTROL!$C$28, 0.0003, 0)</f>
        <v>15.1601</v>
      </c>
      <c r="D123" s="4">
        <f>22.3641 * CHOOSE(CONTROL!$C$9, $C$13, 100%, $E$13) + CHOOSE(CONTROL!$C$28, 0, 0)</f>
        <v>22.364100000000001</v>
      </c>
      <c r="E123" s="4">
        <f>88.9928009686673 * CHOOSE(CONTROL!$C$9, $C$13, 100%, $E$13) + CHOOSE(CONTROL!$C$28, 0, 0)</f>
        <v>88.992800968667297</v>
      </c>
    </row>
    <row r="124" spans="1:5" ht="15">
      <c r="A124" s="13">
        <v>45627</v>
      </c>
      <c r="B124" s="4">
        <f>15.2594 * CHOOSE(CONTROL!$C$9, $C$13, 100%, $E$13) + CHOOSE(CONTROL!$C$28, 0.0003, 0)</f>
        <v>15.259699999999999</v>
      </c>
      <c r="C124" s="4">
        <f>14.9469 * CHOOSE(CONTROL!$C$9, $C$13, 100%, $E$13) + CHOOSE(CONTROL!$C$28, 0.0003, 0)</f>
        <v>14.947199999999999</v>
      </c>
      <c r="D124" s="4">
        <f>21.6363 * CHOOSE(CONTROL!$C$9, $C$13, 100%, $E$13) + CHOOSE(CONTROL!$C$28, 0, 0)</f>
        <v>21.636299999999999</v>
      </c>
      <c r="E124" s="4">
        <f>87.5990555798642 * CHOOSE(CONTROL!$C$9, $C$13, 100%, $E$13) + CHOOSE(CONTROL!$C$28, 0, 0)</f>
        <v>87.599055579864199</v>
      </c>
    </row>
    <row r="125" spans="1:5" ht="15">
      <c r="A125" s="13">
        <v>45658</v>
      </c>
      <c r="B125" s="4">
        <f>15.1778 * CHOOSE(CONTROL!$C$9, $C$13, 100%, $E$13) + CHOOSE(CONTROL!$C$28, 0.0003, 0)</f>
        <v>15.178099999999999</v>
      </c>
      <c r="C125" s="4">
        <f>14.8653 * CHOOSE(CONTROL!$C$9, $C$13, 100%, $E$13) + CHOOSE(CONTROL!$C$28, 0.0003, 0)</f>
        <v>14.865599999999999</v>
      </c>
      <c r="D125" s="4">
        <f>21.3031 * CHOOSE(CONTROL!$C$9, $C$13, 100%, $E$13) + CHOOSE(CONTROL!$C$28, 0, 0)</f>
        <v>21.303100000000001</v>
      </c>
      <c r="E125" s="4">
        <f>85.1854705466113 * CHOOSE(CONTROL!$C$9, $C$13, 100%, $E$13) + CHOOSE(CONTROL!$C$28, 0, 0)</f>
        <v>85.185470546611299</v>
      </c>
    </row>
    <row r="126" spans="1:5" ht="15">
      <c r="A126" s="13">
        <v>45689</v>
      </c>
      <c r="B126" s="4">
        <f>15.4936 * CHOOSE(CONTROL!$C$9, $C$13, 100%, $E$13) + CHOOSE(CONTROL!$C$28, 0.0003, 0)</f>
        <v>15.4939</v>
      </c>
      <c r="C126" s="4">
        <f>15.1811 * CHOOSE(CONTROL!$C$9, $C$13, 100%, $E$13) + CHOOSE(CONTROL!$C$28, 0.0003, 0)</f>
        <v>15.1814</v>
      </c>
      <c r="D126" s="4">
        <f>21.9885 * CHOOSE(CONTROL!$C$9, $C$13, 100%, $E$13) + CHOOSE(CONTROL!$C$28, 0, 0)</f>
        <v>21.988499999999998</v>
      </c>
      <c r="E126" s="4">
        <f>87.208109325613 * CHOOSE(CONTROL!$C$9, $C$13, 100%, $E$13) + CHOOSE(CONTROL!$C$28, 0, 0)</f>
        <v>87.208109325612995</v>
      </c>
    </row>
    <row r="127" spans="1:5" ht="15">
      <c r="A127" s="13">
        <v>45717</v>
      </c>
      <c r="B127" s="4">
        <f>16.3231 * CHOOSE(CONTROL!$C$9, $C$13, 100%, $E$13) + CHOOSE(CONTROL!$C$28, 0.0003, 0)</f>
        <v>16.323399999999999</v>
      </c>
      <c r="C127" s="4">
        <f>16.0106 * CHOOSE(CONTROL!$C$9, $C$13, 100%, $E$13) + CHOOSE(CONTROL!$C$28, 0.0003, 0)</f>
        <v>16.010899999999999</v>
      </c>
      <c r="D127" s="4">
        <f>23.0615 * CHOOSE(CONTROL!$C$9, $C$13, 100%, $E$13) + CHOOSE(CONTROL!$C$28, 0, 0)</f>
        <v>23.061499999999999</v>
      </c>
      <c r="E127" s="4">
        <f>92.519666248824 * CHOOSE(CONTROL!$C$9, $C$13, 100%, $E$13) + CHOOSE(CONTROL!$C$28, 0, 0)</f>
        <v>92.519666248823995</v>
      </c>
    </row>
    <row r="128" spans="1:5" ht="15">
      <c r="A128" s="13">
        <v>45748</v>
      </c>
      <c r="B128" s="4">
        <f>16.9124 * CHOOSE(CONTROL!$C$9, $C$13, 100%, $E$13) + CHOOSE(CONTROL!$C$28, 0.0003, 0)</f>
        <v>16.912700000000001</v>
      </c>
      <c r="C128" s="4">
        <f>16.5999 * CHOOSE(CONTROL!$C$9, $C$13, 100%, $E$13) + CHOOSE(CONTROL!$C$28, 0.0003, 0)</f>
        <v>16.600200000000001</v>
      </c>
      <c r="D128" s="4">
        <f>23.6795 * CHOOSE(CONTROL!$C$9, $C$13, 100%, $E$13) + CHOOSE(CONTROL!$C$28, 0, 0)</f>
        <v>23.679500000000001</v>
      </c>
      <c r="E128" s="4">
        <f>96.2935982285685 * CHOOSE(CONTROL!$C$9, $C$13, 100%, $E$13) + CHOOSE(CONTROL!$C$28, 0, 0)</f>
        <v>96.293598228568499</v>
      </c>
    </row>
    <row r="129" spans="1:5" ht="15">
      <c r="A129" s="13">
        <v>45778</v>
      </c>
      <c r="B129" s="4">
        <f>17.2725 * CHOOSE(CONTROL!$C$9, $C$13, 100%, $E$13) + CHOOSE(CONTROL!$C$28, 0.0294, 0)</f>
        <v>17.3019</v>
      </c>
      <c r="C129" s="4">
        <f>16.96 * CHOOSE(CONTROL!$C$9, $C$13, 100%, $E$13) + CHOOSE(CONTROL!$C$28, 0.0294, 0)</f>
        <v>16.9894</v>
      </c>
      <c r="D129" s="4">
        <f>23.4353 * CHOOSE(CONTROL!$C$9, $C$13, 100%, $E$13) + CHOOSE(CONTROL!$C$28, 0, 0)</f>
        <v>23.435300000000002</v>
      </c>
      <c r="E129" s="4">
        <f>98.5993802196663 * CHOOSE(CONTROL!$C$9, $C$13, 100%, $E$13) + CHOOSE(CONTROL!$C$28, 0, 0)</f>
        <v>98.599380219666301</v>
      </c>
    </row>
    <row r="130" spans="1:5" ht="15">
      <c r="A130" s="13">
        <v>45809</v>
      </c>
      <c r="B130" s="4">
        <f>17.3212 * CHOOSE(CONTROL!$C$9, $C$13, 100%, $E$13) + CHOOSE(CONTROL!$C$28, 0.0294, 0)</f>
        <v>17.3506</v>
      </c>
      <c r="C130" s="4">
        <f>17.0087 * CHOOSE(CONTROL!$C$9, $C$13, 100%, $E$13) + CHOOSE(CONTROL!$C$28, 0.0294, 0)</f>
        <v>17.0381</v>
      </c>
      <c r="D130" s="4">
        <f>23.6342 * CHOOSE(CONTROL!$C$9, $C$13, 100%, $E$13) + CHOOSE(CONTROL!$C$28, 0, 0)</f>
        <v>23.6342</v>
      </c>
      <c r="E130" s="4">
        <f>98.9113620922537 * CHOOSE(CONTROL!$C$9, $C$13, 100%, $E$13) + CHOOSE(CONTROL!$C$28, 0, 0)</f>
        <v>98.911362092253697</v>
      </c>
    </row>
    <row r="131" spans="1:5" ht="15">
      <c r="A131" s="13">
        <v>45839</v>
      </c>
      <c r="B131" s="4">
        <f>17.3163 * CHOOSE(CONTROL!$C$9, $C$13, 100%, $E$13) + CHOOSE(CONTROL!$C$28, 0.0294, 0)</f>
        <v>17.345699999999997</v>
      </c>
      <c r="C131" s="4">
        <f>17.0038 * CHOOSE(CONTROL!$C$9, $C$13, 100%, $E$13) + CHOOSE(CONTROL!$C$28, 0.0294, 0)</f>
        <v>17.033199999999997</v>
      </c>
      <c r="D131" s="4">
        <f>23.9931 * CHOOSE(CONTROL!$C$9, $C$13, 100%, $E$13) + CHOOSE(CONTROL!$C$28, 0, 0)</f>
        <v>23.993099999999998</v>
      </c>
      <c r="E131" s="4">
        <f>98.8799017353541 * CHOOSE(CONTROL!$C$9, $C$13, 100%, $E$13) + CHOOSE(CONTROL!$C$28, 0, 0)</f>
        <v>98.879901735354096</v>
      </c>
    </row>
    <row r="132" spans="1:5" ht="15">
      <c r="A132" s="13">
        <v>45870</v>
      </c>
      <c r="B132" s="4">
        <f>17.686 * CHOOSE(CONTROL!$C$9, $C$13, 100%, $E$13) + CHOOSE(CONTROL!$C$28, 0.0294, 0)</f>
        <v>17.715399999999999</v>
      </c>
      <c r="C132" s="4">
        <f>17.3735 * CHOOSE(CONTROL!$C$9, $C$13, 100%, $E$13) + CHOOSE(CONTROL!$C$28, 0.0294, 0)</f>
        <v>17.402899999999999</v>
      </c>
      <c r="D132" s="4">
        <f>23.7561 * CHOOSE(CONTROL!$C$9, $C$13, 100%, $E$13) + CHOOSE(CONTROL!$C$28, 0, 0)</f>
        <v>23.7561</v>
      </c>
      <c r="E132" s="4">
        <f>101.247293592047 * CHOOSE(CONTROL!$C$9, $C$13, 100%, $E$13) + CHOOSE(CONTROL!$C$28, 0, 0)</f>
        <v>101.247293592047</v>
      </c>
    </row>
    <row r="133" spans="1:5" ht="15">
      <c r="A133" s="13">
        <v>45901</v>
      </c>
      <c r="B133" s="4">
        <f>17.0559 * CHOOSE(CONTROL!$C$9, $C$13, 100%, $E$13) + CHOOSE(CONTROL!$C$28, 0.0294, 0)</f>
        <v>17.0853</v>
      </c>
      <c r="C133" s="4">
        <f>16.7434 * CHOOSE(CONTROL!$C$9, $C$13, 100%, $E$13) + CHOOSE(CONTROL!$C$28, 0.0294, 0)</f>
        <v>16.7728</v>
      </c>
      <c r="D133" s="4">
        <f>23.6441 * CHOOSE(CONTROL!$C$9, $C$13, 100%, $E$13) + CHOOSE(CONTROL!$C$28, 0, 0)</f>
        <v>23.644100000000002</v>
      </c>
      <c r="E133" s="4">
        <f>97.2125028196768 * CHOOSE(CONTROL!$C$9, $C$13, 100%, $E$13) + CHOOSE(CONTROL!$C$28, 0, 0)</f>
        <v>97.2125028196768</v>
      </c>
    </row>
    <row r="134" spans="1:5" ht="15">
      <c r="A134" s="13">
        <v>45931</v>
      </c>
      <c r="B134" s="4">
        <f>16.5515 * CHOOSE(CONTROL!$C$9, $C$13, 100%, $E$13) + CHOOSE(CONTROL!$C$28, 0.0003, 0)</f>
        <v>16.5518</v>
      </c>
      <c r="C134" s="4">
        <f>16.239 * CHOOSE(CONTROL!$C$9, $C$13, 100%, $E$13) + CHOOSE(CONTROL!$C$28, 0.0003, 0)</f>
        <v>16.2393</v>
      </c>
      <c r="D134" s="4">
        <f>23.3442 * CHOOSE(CONTROL!$C$9, $C$13, 100%, $E$13) + CHOOSE(CONTROL!$C$28, 0, 0)</f>
        <v>23.344200000000001</v>
      </c>
      <c r="E134" s="4">
        <f>93.9825728446541 * CHOOSE(CONTROL!$C$9, $C$13, 100%, $E$13) + CHOOSE(CONTROL!$C$28, 0, 0)</f>
        <v>93.982572844654101</v>
      </c>
    </row>
    <row r="135" spans="1:5" ht="15">
      <c r="A135" s="13">
        <v>45962</v>
      </c>
      <c r="B135" s="4">
        <f>16.2267 * CHOOSE(CONTROL!$C$9, $C$13, 100%, $E$13) + CHOOSE(CONTROL!$C$28, 0.0003, 0)</f>
        <v>16.227</v>
      </c>
      <c r="C135" s="4">
        <f>15.9142 * CHOOSE(CONTROL!$C$9, $C$13, 100%, $E$13) + CHOOSE(CONTROL!$C$28, 0.0003, 0)</f>
        <v>15.914499999999999</v>
      </c>
      <c r="D135" s="4">
        <f>23.2412 * CHOOSE(CONTROL!$C$9, $C$13, 100%, $E$13) + CHOOSE(CONTROL!$C$28, 0, 0)</f>
        <v>23.241199999999999</v>
      </c>
      <c r="E135" s="4">
        <f>91.9022567446699 * CHOOSE(CONTROL!$C$9, $C$13, 100%, $E$13) + CHOOSE(CONTROL!$C$28, 0, 0)</f>
        <v>91.902256744669899</v>
      </c>
    </row>
    <row r="136" spans="1:5" ht="15">
      <c r="A136" s="13">
        <v>45992</v>
      </c>
      <c r="B136" s="4">
        <f>16.0019 * CHOOSE(CONTROL!$C$9, $C$13, 100%, $E$13) + CHOOSE(CONTROL!$C$28, 0.0003, 0)</f>
        <v>16.002199999999998</v>
      </c>
      <c r="C136" s="4">
        <f>15.6894 * CHOOSE(CONTROL!$C$9, $C$13, 100%, $E$13) + CHOOSE(CONTROL!$C$28, 0.0003, 0)</f>
        <v>15.689699999999998</v>
      </c>
      <c r="D136" s="4">
        <f>22.4822 * CHOOSE(CONTROL!$C$9, $C$13, 100%, $E$13) + CHOOSE(CONTROL!$C$28, 0, 0)</f>
        <v>22.482199999999999</v>
      </c>
      <c r="E136" s="4">
        <f>90.4629454165145 * CHOOSE(CONTROL!$C$9, $C$13, 100%, $E$13) + CHOOSE(CONTROL!$C$28, 0, 0)</f>
        <v>90.462945416514501</v>
      </c>
    </row>
    <row r="137" spans="1:5" ht="15">
      <c r="A137" s="13">
        <v>46023</v>
      </c>
      <c r="B137" s="4">
        <f>15.5859 * CHOOSE(CONTROL!$C$9, $C$13, 100%, $E$13) + CHOOSE(CONTROL!$C$28, 0.0003, 0)</f>
        <v>15.5862</v>
      </c>
      <c r="C137" s="4">
        <f>15.2734 * CHOOSE(CONTROL!$C$9, $C$13, 100%, $E$13) + CHOOSE(CONTROL!$C$28, 0.0003, 0)</f>
        <v>15.2737</v>
      </c>
      <c r="D137" s="4">
        <f>21.8928 * CHOOSE(CONTROL!$C$9, $C$13, 100%, $E$13) + CHOOSE(CONTROL!$C$28, 0, 0)</f>
        <v>21.892800000000001</v>
      </c>
      <c r="E137" s="4">
        <f>88.1231952849309 * CHOOSE(CONTROL!$C$9, $C$13, 100%, $E$13) + CHOOSE(CONTROL!$C$28, 0, 0)</f>
        <v>88.123195284930901</v>
      </c>
    </row>
    <row r="138" spans="1:5" ht="15">
      <c r="A138" s="13">
        <v>46054</v>
      </c>
      <c r="B138" s="4">
        <f>15.9115 * CHOOSE(CONTROL!$C$9, $C$13, 100%, $E$13) + CHOOSE(CONTROL!$C$28, 0.0003, 0)</f>
        <v>15.911799999999999</v>
      </c>
      <c r="C138" s="4">
        <f>15.599 * CHOOSE(CONTROL!$C$9, $C$13, 100%, $E$13) + CHOOSE(CONTROL!$C$28, 0.0003, 0)</f>
        <v>15.599299999999999</v>
      </c>
      <c r="D138" s="4">
        <f>22.5991 * CHOOSE(CONTROL!$C$9, $C$13, 100%, $E$13) + CHOOSE(CONTROL!$C$28, 0, 0)</f>
        <v>22.5991</v>
      </c>
      <c r="E138" s="4">
        <f>90.2155872265274 * CHOOSE(CONTROL!$C$9, $C$13, 100%, $E$13) + CHOOSE(CONTROL!$C$28, 0, 0)</f>
        <v>90.215587226527404</v>
      </c>
    </row>
    <row r="139" spans="1:5" ht="15">
      <c r="A139" s="13">
        <v>46082</v>
      </c>
      <c r="B139" s="4">
        <f>16.7664 * CHOOSE(CONTROL!$C$9, $C$13, 100%, $E$13) + CHOOSE(CONTROL!$C$28, 0.0003, 0)</f>
        <v>16.7667</v>
      </c>
      <c r="C139" s="4">
        <f>16.4539 * CHOOSE(CONTROL!$C$9, $C$13, 100%, $E$13) + CHOOSE(CONTROL!$C$28, 0.0003, 0)</f>
        <v>16.4542</v>
      </c>
      <c r="D139" s="4">
        <f>23.7046 * CHOOSE(CONTROL!$C$9, $C$13, 100%, $E$13) + CHOOSE(CONTROL!$C$28, 0, 0)</f>
        <v>23.704599999999999</v>
      </c>
      <c r="E139" s="4">
        <f>95.7103196616207 * CHOOSE(CONTROL!$C$9, $C$13, 100%, $E$13) + CHOOSE(CONTROL!$C$28, 0, 0)</f>
        <v>95.710319661620701</v>
      </c>
    </row>
    <row r="140" spans="1:5" ht="15">
      <c r="A140" s="13">
        <v>46113</v>
      </c>
      <c r="B140" s="4">
        <f>17.3738 * CHOOSE(CONTROL!$C$9, $C$13, 100%, $E$13) + CHOOSE(CONTROL!$C$28, 0.0003, 0)</f>
        <v>17.374099999999999</v>
      </c>
      <c r="C140" s="4">
        <f>17.0613 * CHOOSE(CONTROL!$C$9, $C$13, 100%, $E$13) + CHOOSE(CONTROL!$C$28, 0.0003, 0)</f>
        <v>17.061599999999999</v>
      </c>
      <c r="D140" s="4">
        <f>24.3415 * CHOOSE(CONTROL!$C$9, $C$13, 100%, $E$13) + CHOOSE(CONTROL!$C$28, 0, 0)</f>
        <v>24.3415</v>
      </c>
      <c r="E140" s="4">
        <f>99.6144002836922 * CHOOSE(CONTROL!$C$9, $C$13, 100%, $E$13) + CHOOSE(CONTROL!$C$28, 0, 0)</f>
        <v>99.614400283692206</v>
      </c>
    </row>
    <row r="141" spans="1:5" ht="15">
      <c r="A141" s="13">
        <v>46143</v>
      </c>
      <c r="B141" s="4">
        <f>17.745 * CHOOSE(CONTROL!$C$9, $C$13, 100%, $E$13) + CHOOSE(CONTROL!$C$28, 0.0294, 0)</f>
        <v>17.7744</v>
      </c>
      <c r="C141" s="4">
        <f>17.4325 * CHOOSE(CONTROL!$C$9, $C$13, 100%, $E$13) + CHOOSE(CONTROL!$C$28, 0.0294, 0)</f>
        <v>17.4619</v>
      </c>
      <c r="D141" s="4">
        <f>24.0898 * CHOOSE(CONTROL!$C$9, $C$13, 100%, $E$13) + CHOOSE(CONTROL!$C$28, 0, 0)</f>
        <v>24.0898</v>
      </c>
      <c r="E141" s="4">
        <f>101.999699976024 * CHOOSE(CONTROL!$C$9, $C$13, 100%, $E$13) + CHOOSE(CONTROL!$C$28, 0, 0)</f>
        <v>101.999699976024</v>
      </c>
    </row>
    <row r="142" spans="1:5" ht="15">
      <c r="A142" s="13">
        <v>46174</v>
      </c>
      <c r="B142" s="4">
        <f>17.7952 * CHOOSE(CONTROL!$C$9, $C$13, 100%, $E$13) + CHOOSE(CONTROL!$C$28, 0.0294, 0)</f>
        <v>17.8246</v>
      </c>
      <c r="C142" s="4">
        <f>17.4827 * CHOOSE(CONTROL!$C$9, $C$13, 100%, $E$13) + CHOOSE(CONTROL!$C$28, 0.0294, 0)</f>
        <v>17.5121</v>
      </c>
      <c r="D142" s="4">
        <f>24.2948 * CHOOSE(CONTROL!$C$9, $C$13, 100%, $E$13) + CHOOSE(CONTROL!$C$28, 0, 0)</f>
        <v>24.294799999999999</v>
      </c>
      <c r="E142" s="4">
        <f>102.322440923594 * CHOOSE(CONTROL!$C$9, $C$13, 100%, $E$13) + CHOOSE(CONTROL!$C$28, 0, 0)</f>
        <v>102.322440923594</v>
      </c>
    </row>
    <row r="143" spans="1:5" ht="15">
      <c r="A143" s="13">
        <v>46204</v>
      </c>
      <c r="B143" s="4">
        <f>17.7901 * CHOOSE(CONTROL!$C$9, $C$13, 100%, $E$13) + CHOOSE(CONTROL!$C$28, 0.0294, 0)</f>
        <v>17.819499999999998</v>
      </c>
      <c r="C143" s="4">
        <f>17.4776 * CHOOSE(CONTROL!$C$9, $C$13, 100%, $E$13) + CHOOSE(CONTROL!$C$28, 0.0294, 0)</f>
        <v>17.506999999999998</v>
      </c>
      <c r="D143" s="4">
        <f>24.6646 * CHOOSE(CONTROL!$C$9, $C$13, 100%, $E$13) + CHOOSE(CONTROL!$C$28, 0, 0)</f>
        <v>24.6646</v>
      </c>
      <c r="E143" s="4">
        <f>102.289895617957 * CHOOSE(CONTROL!$C$9, $C$13, 100%, $E$13) + CHOOSE(CONTROL!$C$28, 0, 0)</f>
        <v>102.289895617957</v>
      </c>
    </row>
    <row r="144" spans="1:5" ht="15">
      <c r="A144" s="13">
        <v>46235</v>
      </c>
      <c r="B144" s="4">
        <f>18.1712 * CHOOSE(CONTROL!$C$9, $C$13, 100%, $E$13) + CHOOSE(CONTROL!$C$28, 0.0294, 0)</f>
        <v>18.200599999999998</v>
      </c>
      <c r="C144" s="4">
        <f>17.8587 * CHOOSE(CONTROL!$C$9, $C$13, 100%, $E$13) + CHOOSE(CONTROL!$C$28, 0.0294, 0)</f>
        <v>17.888099999999998</v>
      </c>
      <c r="D144" s="4">
        <f>24.4203 * CHOOSE(CONTROL!$C$9, $C$13, 100%, $E$13) + CHOOSE(CONTROL!$C$28, 0, 0)</f>
        <v>24.420300000000001</v>
      </c>
      <c r="E144" s="4">
        <f>104.738929867162 * CHOOSE(CONTROL!$C$9, $C$13, 100%, $E$13) + CHOOSE(CONTROL!$C$28, 0, 0)</f>
        <v>104.738929867162</v>
      </c>
    </row>
    <row r="145" spans="1:5" ht="15">
      <c r="A145" s="13">
        <v>46266</v>
      </c>
      <c r="B145" s="4">
        <f>17.5217 * CHOOSE(CONTROL!$C$9, $C$13, 100%, $E$13) + CHOOSE(CONTROL!$C$28, 0.0294, 0)</f>
        <v>17.551099999999998</v>
      </c>
      <c r="C145" s="4">
        <f>17.2092 * CHOOSE(CONTROL!$C$9, $C$13, 100%, $E$13) + CHOOSE(CONTROL!$C$28, 0.0294, 0)</f>
        <v>17.238599999999998</v>
      </c>
      <c r="D145" s="4">
        <f>24.305 * CHOOSE(CONTROL!$C$9, $C$13, 100%, $E$13) + CHOOSE(CONTROL!$C$28, 0, 0)</f>
        <v>24.305</v>
      </c>
      <c r="E145" s="4">
        <f>100.564994419181 * CHOOSE(CONTROL!$C$9, $C$13, 100%, $E$13) + CHOOSE(CONTROL!$C$28, 0, 0)</f>
        <v>100.56499441918101</v>
      </c>
    </row>
    <row r="146" spans="1:5" ht="15">
      <c r="A146" s="13">
        <v>46296</v>
      </c>
      <c r="B146" s="4">
        <f>17.0019 * CHOOSE(CONTROL!$C$9, $C$13, 100%, $E$13) + CHOOSE(CONTROL!$C$28, 0.0003, 0)</f>
        <v>17.002199999999998</v>
      </c>
      <c r="C146" s="4">
        <f>16.6894 * CHOOSE(CONTROL!$C$9, $C$13, 100%, $E$13) + CHOOSE(CONTROL!$C$28, 0.0003, 0)</f>
        <v>16.689699999999998</v>
      </c>
      <c r="D146" s="4">
        <f>23.996 * CHOOSE(CONTROL!$C$9, $C$13, 100%, $E$13) + CHOOSE(CONTROL!$C$28, 0, 0)</f>
        <v>23.995999999999999</v>
      </c>
      <c r="E146" s="4">
        <f>97.223676373754 * CHOOSE(CONTROL!$C$9, $C$13, 100%, $E$13) + CHOOSE(CONTROL!$C$28, 0, 0)</f>
        <v>97.223676373754003</v>
      </c>
    </row>
    <row r="147" spans="1:5" ht="15">
      <c r="A147" s="13">
        <v>46327</v>
      </c>
      <c r="B147" s="4">
        <f>16.667 * CHOOSE(CONTROL!$C$9, $C$13, 100%, $E$13) + CHOOSE(CONTROL!$C$28, 0.0003, 0)</f>
        <v>16.667300000000001</v>
      </c>
      <c r="C147" s="4">
        <f>16.3545 * CHOOSE(CONTROL!$C$9, $C$13, 100%, $E$13) + CHOOSE(CONTROL!$C$28, 0.0003, 0)</f>
        <v>16.354800000000001</v>
      </c>
      <c r="D147" s="4">
        <f>23.8898 * CHOOSE(CONTROL!$C$9, $C$13, 100%, $E$13) + CHOOSE(CONTROL!$C$28, 0, 0)</f>
        <v>23.889800000000001</v>
      </c>
      <c r="E147" s="4">
        <f>95.0716180384892 * CHOOSE(CONTROL!$C$9, $C$13, 100%, $E$13) + CHOOSE(CONTROL!$C$28, 0, 0)</f>
        <v>95.071618038489206</v>
      </c>
    </row>
    <row r="148" spans="1:5" ht="15">
      <c r="A148" s="13">
        <v>46357</v>
      </c>
      <c r="B148" s="4">
        <f>16.4354 * CHOOSE(CONTROL!$C$9, $C$13, 100%, $E$13) + CHOOSE(CONTROL!$C$28, 0.0003, 0)</f>
        <v>16.435700000000001</v>
      </c>
      <c r="C148" s="4">
        <f>16.1229 * CHOOSE(CONTROL!$C$9, $C$13, 100%, $E$13) + CHOOSE(CONTROL!$C$28, 0.0003, 0)</f>
        <v>16.123200000000001</v>
      </c>
      <c r="D148" s="4">
        <f>23.1078 * CHOOSE(CONTROL!$C$9, $C$13, 100%, $E$13) + CHOOSE(CONTROL!$C$28, 0, 0)</f>
        <v>23.107800000000001</v>
      </c>
      <c r="E148" s="4">
        <f>93.5826703055839 * CHOOSE(CONTROL!$C$9, $C$13, 100%, $E$13) + CHOOSE(CONTROL!$C$28, 0, 0)</f>
        <v>93.582670305583903</v>
      </c>
    </row>
    <row r="149" spans="1:5" ht="15">
      <c r="A149" s="13">
        <v>46388</v>
      </c>
      <c r="B149" s="4">
        <f>15.9494 * CHOOSE(CONTROL!$C$9, $C$13, 100%, $E$13) + CHOOSE(CONTROL!$C$28, 0.0003, 0)</f>
        <v>15.9497</v>
      </c>
      <c r="C149" s="4">
        <f>15.6369 * CHOOSE(CONTROL!$C$9, $C$13, 100%, $E$13) + CHOOSE(CONTROL!$C$28, 0.0003, 0)</f>
        <v>15.6372</v>
      </c>
      <c r="D149" s="4">
        <f>22.3852 * CHOOSE(CONTROL!$C$9, $C$13, 100%, $E$13) + CHOOSE(CONTROL!$C$28, 0, 0)</f>
        <v>22.385200000000001</v>
      </c>
      <c r="E149" s="4">
        <f>90.5081217650008 * CHOOSE(CONTROL!$C$9, $C$13, 100%, $E$13) + CHOOSE(CONTROL!$C$28, 0, 0)</f>
        <v>90.508121765000794</v>
      </c>
    </row>
    <row r="150" spans="1:5" ht="15">
      <c r="A150" s="13">
        <v>46419</v>
      </c>
      <c r="B150" s="4">
        <f>16.2836 * CHOOSE(CONTROL!$C$9, $C$13, 100%, $E$13) + CHOOSE(CONTROL!$C$28, 0.0003, 0)</f>
        <v>16.283899999999999</v>
      </c>
      <c r="C150" s="4">
        <f>15.9711 * CHOOSE(CONTROL!$C$9, $C$13, 100%, $E$13) + CHOOSE(CONTROL!$C$28, 0.0003, 0)</f>
        <v>15.971399999999999</v>
      </c>
      <c r="D150" s="4">
        <f>23.1088 * CHOOSE(CONTROL!$C$9, $C$13, 100%, $E$13) + CHOOSE(CONTROL!$C$28, 0, 0)</f>
        <v>23.108799999999999</v>
      </c>
      <c r="E150" s="4">
        <f>92.6571412600134 * CHOOSE(CONTROL!$C$9, $C$13, 100%, $E$13) + CHOOSE(CONTROL!$C$28, 0, 0)</f>
        <v>92.657141260013404</v>
      </c>
    </row>
    <row r="151" spans="1:5" ht="15">
      <c r="A151" s="13">
        <v>46447</v>
      </c>
      <c r="B151" s="4">
        <f>17.1612 * CHOOSE(CONTROL!$C$9, $C$13, 100%, $E$13) + CHOOSE(CONTROL!$C$28, 0.0003, 0)</f>
        <v>17.1615</v>
      </c>
      <c r="C151" s="4">
        <f>16.8487 * CHOOSE(CONTROL!$C$9, $C$13, 100%, $E$13) + CHOOSE(CONTROL!$C$28, 0.0003, 0)</f>
        <v>16.849</v>
      </c>
      <c r="D151" s="4">
        <f>24.2416 * CHOOSE(CONTROL!$C$9, $C$13, 100%, $E$13) + CHOOSE(CONTROL!$C$28, 0, 0)</f>
        <v>24.241599999999998</v>
      </c>
      <c r="E151" s="4">
        <f>98.3005806597485 * CHOOSE(CONTROL!$C$9, $C$13, 100%, $E$13) + CHOOSE(CONTROL!$C$28, 0, 0)</f>
        <v>98.300580659748505</v>
      </c>
    </row>
    <row r="152" spans="1:5" ht="15">
      <c r="A152" s="13">
        <v>46478</v>
      </c>
      <c r="B152" s="4">
        <f>17.7847 * CHOOSE(CONTROL!$C$9, $C$13, 100%, $E$13) + CHOOSE(CONTROL!$C$28, 0.0003, 0)</f>
        <v>17.785</v>
      </c>
      <c r="C152" s="4">
        <f>17.4722 * CHOOSE(CONTROL!$C$9, $C$13, 100%, $E$13) + CHOOSE(CONTROL!$C$28, 0.0003, 0)</f>
        <v>17.4725</v>
      </c>
      <c r="D152" s="4">
        <f>24.8941 * CHOOSE(CONTROL!$C$9, $C$13, 100%, $E$13) + CHOOSE(CONTROL!$C$28, 0, 0)</f>
        <v>24.894100000000002</v>
      </c>
      <c r="E152" s="4">
        <f>102.310319561979 * CHOOSE(CONTROL!$C$9, $C$13, 100%, $E$13) + CHOOSE(CONTROL!$C$28, 0, 0)</f>
        <v>102.310319561979</v>
      </c>
    </row>
    <row r="153" spans="1:5" ht="15">
      <c r="A153" s="13">
        <v>46508</v>
      </c>
      <c r="B153" s="4">
        <f>18.1657 * CHOOSE(CONTROL!$C$9, $C$13, 100%, $E$13) + CHOOSE(CONTROL!$C$28, 0.0294, 0)</f>
        <v>18.1951</v>
      </c>
      <c r="C153" s="4">
        <f>17.8532 * CHOOSE(CONTROL!$C$9, $C$13, 100%, $E$13) + CHOOSE(CONTROL!$C$28, 0.0294, 0)</f>
        <v>17.8826</v>
      </c>
      <c r="D153" s="4">
        <f>24.6363 * CHOOSE(CONTROL!$C$9, $C$13, 100%, $E$13) + CHOOSE(CONTROL!$C$28, 0, 0)</f>
        <v>24.636299999999999</v>
      </c>
      <c r="E153" s="4">
        <f>104.760173931212 * CHOOSE(CONTROL!$C$9, $C$13, 100%, $E$13) + CHOOSE(CONTROL!$C$28, 0, 0)</f>
        <v>104.76017393121199</v>
      </c>
    </row>
    <row r="154" spans="1:5" ht="15">
      <c r="A154" s="13">
        <v>46539</v>
      </c>
      <c r="B154" s="4">
        <f>18.2172 * CHOOSE(CONTROL!$C$9, $C$13, 100%, $E$13) + CHOOSE(CONTROL!$C$28, 0.0294, 0)</f>
        <v>18.246599999999997</v>
      </c>
      <c r="C154" s="4">
        <f>17.9047 * CHOOSE(CONTROL!$C$9, $C$13, 100%, $E$13) + CHOOSE(CONTROL!$C$28, 0.0294, 0)</f>
        <v>17.934099999999997</v>
      </c>
      <c r="D154" s="4">
        <f>24.8463 * CHOOSE(CONTROL!$C$9, $C$13, 100%, $E$13) + CHOOSE(CONTROL!$C$28, 0, 0)</f>
        <v>24.846299999999999</v>
      </c>
      <c r="E154" s="4">
        <f>105.091649394474 * CHOOSE(CONTROL!$C$9, $C$13, 100%, $E$13) + CHOOSE(CONTROL!$C$28, 0, 0)</f>
        <v>105.091649394474</v>
      </c>
    </row>
    <row r="155" spans="1:5" ht="15">
      <c r="A155" s="13">
        <v>46569</v>
      </c>
      <c r="B155" s="4">
        <f>18.212 * CHOOSE(CONTROL!$C$9, $C$13, 100%, $E$13) + CHOOSE(CONTROL!$C$28, 0.0294, 0)</f>
        <v>18.241399999999999</v>
      </c>
      <c r="C155" s="4">
        <f>17.8995 * CHOOSE(CONTROL!$C$9, $C$13, 100%, $E$13) + CHOOSE(CONTROL!$C$28, 0.0294, 0)</f>
        <v>17.928899999999999</v>
      </c>
      <c r="D155" s="4">
        <f>25.2252 * CHOOSE(CONTROL!$C$9, $C$13, 100%, $E$13) + CHOOSE(CONTROL!$C$28, 0, 0)</f>
        <v>25.225200000000001</v>
      </c>
      <c r="E155" s="4">
        <f>105.058223297338 * CHOOSE(CONTROL!$C$9, $C$13, 100%, $E$13) + CHOOSE(CONTROL!$C$28, 0, 0)</f>
        <v>105.058223297338</v>
      </c>
    </row>
    <row r="156" spans="1:5" ht="15">
      <c r="A156" s="13">
        <v>46600</v>
      </c>
      <c r="B156" s="4">
        <f>18.6031 * CHOOSE(CONTROL!$C$9, $C$13, 100%, $E$13) + CHOOSE(CONTROL!$C$28, 0.0294, 0)</f>
        <v>18.6325</v>
      </c>
      <c r="C156" s="4">
        <f>18.2906 * CHOOSE(CONTROL!$C$9, $C$13, 100%, $E$13) + CHOOSE(CONTROL!$C$28, 0.0294, 0)</f>
        <v>18.32</v>
      </c>
      <c r="D156" s="4">
        <f>24.9749 * CHOOSE(CONTROL!$C$9, $C$13, 100%, $E$13) + CHOOSE(CONTROL!$C$28, 0, 0)</f>
        <v>24.974900000000002</v>
      </c>
      <c r="E156" s="4">
        <f>107.573537106796 * CHOOSE(CONTROL!$C$9, $C$13, 100%, $E$13) + CHOOSE(CONTROL!$C$28, 0, 0)</f>
        <v>107.573537106796</v>
      </c>
    </row>
    <row r="157" spans="1:5" ht="15">
      <c r="A157" s="13">
        <v>46631</v>
      </c>
      <c r="B157" s="4">
        <f>17.9365 * CHOOSE(CONTROL!$C$9, $C$13, 100%, $E$13) + CHOOSE(CONTROL!$C$28, 0.0294, 0)</f>
        <v>17.965899999999998</v>
      </c>
      <c r="C157" s="4">
        <f>17.624 * CHOOSE(CONTROL!$C$9, $C$13, 100%, $E$13) + CHOOSE(CONTROL!$C$28, 0.0294, 0)</f>
        <v>17.653399999999998</v>
      </c>
      <c r="D157" s="4">
        <f>24.8567 * CHOOSE(CONTROL!$C$9, $C$13, 100%, $E$13) + CHOOSE(CONTROL!$C$28, 0, 0)</f>
        <v>24.8567</v>
      </c>
      <c r="E157" s="4">
        <f>103.286640149149 * CHOOSE(CONTROL!$C$9, $C$13, 100%, $E$13) + CHOOSE(CONTROL!$C$28, 0, 0)</f>
        <v>103.28664014914899</v>
      </c>
    </row>
    <row r="158" spans="1:5" ht="15">
      <c r="A158" s="13">
        <v>46661</v>
      </c>
      <c r="B158" s="4">
        <f>17.4029 * CHOOSE(CONTROL!$C$9, $C$13, 100%, $E$13) + CHOOSE(CONTROL!$C$28, 0.0003, 0)</f>
        <v>17.403199999999998</v>
      </c>
      <c r="C158" s="4">
        <f>17.0904 * CHOOSE(CONTROL!$C$9, $C$13, 100%, $E$13) + CHOOSE(CONTROL!$C$28, 0.0003, 0)</f>
        <v>17.090699999999998</v>
      </c>
      <c r="D158" s="4">
        <f>24.5402 * CHOOSE(CONTROL!$C$9, $C$13, 100%, $E$13) + CHOOSE(CONTROL!$C$28, 0, 0)</f>
        <v>24.540199999999999</v>
      </c>
      <c r="E158" s="4">
        <f>99.8548941765561 * CHOOSE(CONTROL!$C$9, $C$13, 100%, $E$13) + CHOOSE(CONTROL!$C$28, 0, 0)</f>
        <v>99.854894176556101</v>
      </c>
    </row>
    <row r="159" spans="1:5" ht="15">
      <c r="A159" s="13">
        <v>46692</v>
      </c>
      <c r="B159" s="4">
        <f>17.0592 * CHOOSE(CONTROL!$C$9, $C$13, 100%, $E$13) + CHOOSE(CONTROL!$C$28, 0.0003, 0)</f>
        <v>17.0595</v>
      </c>
      <c r="C159" s="4">
        <f>16.7467 * CHOOSE(CONTROL!$C$9, $C$13, 100%, $E$13) + CHOOSE(CONTROL!$C$28, 0.0003, 0)</f>
        <v>16.747</v>
      </c>
      <c r="D159" s="4">
        <f>24.4313 * CHOOSE(CONTROL!$C$9, $C$13, 100%, $E$13) + CHOOSE(CONTROL!$C$28, 0, 0)</f>
        <v>24.4313</v>
      </c>
      <c r="E159" s="4">
        <f>97.6445935034614 * CHOOSE(CONTROL!$C$9, $C$13, 100%, $E$13) + CHOOSE(CONTROL!$C$28, 0, 0)</f>
        <v>97.644593503461394</v>
      </c>
    </row>
    <row r="160" spans="1:5" ht="15">
      <c r="A160" s="13">
        <v>46722</v>
      </c>
      <c r="B160" s="4">
        <f>16.8213 * CHOOSE(CONTROL!$C$9, $C$13, 100%, $E$13) + CHOOSE(CONTROL!$C$28, 0.0003, 0)</f>
        <v>16.8216</v>
      </c>
      <c r="C160" s="4">
        <f>16.5088 * CHOOSE(CONTROL!$C$9, $C$13, 100%, $E$13) + CHOOSE(CONTROL!$C$28, 0.0003, 0)</f>
        <v>16.5091</v>
      </c>
      <c r="D160" s="4">
        <f>23.6301 * CHOOSE(CONTROL!$C$9, $C$13, 100%, $E$13) + CHOOSE(CONTROL!$C$28, 0, 0)</f>
        <v>23.630099999999999</v>
      </c>
      <c r="E160" s="4">
        <f>96.1153495595056 * CHOOSE(CONTROL!$C$9, $C$13, 100%, $E$13) + CHOOSE(CONTROL!$C$28, 0, 0)</f>
        <v>96.115349559505603</v>
      </c>
    </row>
    <row r="161" spans="1:5" ht="15">
      <c r="A161" s="13">
        <v>46753</v>
      </c>
      <c r="B161" s="4">
        <f>16.2913 * CHOOSE(CONTROL!$C$9, $C$13, 100%, $E$13) + CHOOSE(CONTROL!$C$28, 0.0003, 0)</f>
        <v>16.291599999999999</v>
      </c>
      <c r="C161" s="4">
        <f>15.9788 * CHOOSE(CONTROL!$C$9, $C$13, 100%, $E$13) + CHOOSE(CONTROL!$C$28, 0.0003, 0)</f>
        <v>15.979099999999999</v>
      </c>
      <c r="D161" s="4">
        <f>22.8075 * CHOOSE(CONTROL!$C$9, $C$13, 100%, $E$13) + CHOOSE(CONTROL!$C$28, 0, 0)</f>
        <v>22.807500000000001</v>
      </c>
      <c r="E161" s="4">
        <f>92.804755896246 * CHOOSE(CONTROL!$C$9, $C$13, 100%, $E$13) + CHOOSE(CONTROL!$C$28, 0, 0)</f>
        <v>92.804755896245993</v>
      </c>
    </row>
    <row r="162" spans="1:5" ht="15">
      <c r="A162" s="13">
        <v>46784</v>
      </c>
      <c r="B162" s="4">
        <f>16.6336 * CHOOSE(CONTROL!$C$9, $C$13, 100%, $E$13) + CHOOSE(CONTROL!$C$28, 0.0003, 0)</f>
        <v>16.633900000000001</v>
      </c>
      <c r="C162" s="4">
        <f>16.3211 * CHOOSE(CONTROL!$C$9, $C$13, 100%, $E$13) + CHOOSE(CONTROL!$C$28, 0.0003, 0)</f>
        <v>16.321400000000001</v>
      </c>
      <c r="D162" s="4">
        <f>23.5461 * CHOOSE(CONTROL!$C$9, $C$13, 100%, $E$13) + CHOOSE(CONTROL!$C$28, 0, 0)</f>
        <v>23.546099999999999</v>
      </c>
      <c r="E162" s="4">
        <f>95.0083065363615 * CHOOSE(CONTROL!$C$9, $C$13, 100%, $E$13) + CHOOSE(CONTROL!$C$28, 0, 0)</f>
        <v>95.008306536361502</v>
      </c>
    </row>
    <row r="163" spans="1:5" ht="15">
      <c r="A163" s="13">
        <v>46813</v>
      </c>
      <c r="B163" s="4">
        <f>17.5325 * CHOOSE(CONTROL!$C$9, $C$13, 100%, $E$13) + CHOOSE(CONTROL!$C$28, 0.0003, 0)</f>
        <v>17.532799999999998</v>
      </c>
      <c r="C163" s="4">
        <f>17.22 * CHOOSE(CONTROL!$C$9, $C$13, 100%, $E$13) + CHOOSE(CONTROL!$C$28, 0.0003, 0)</f>
        <v>17.220299999999998</v>
      </c>
      <c r="D163" s="4">
        <f>24.7022 * CHOOSE(CONTROL!$C$9, $C$13, 100%, $E$13) + CHOOSE(CONTROL!$C$28, 0, 0)</f>
        <v>24.702200000000001</v>
      </c>
      <c r="E163" s="4">
        <f>100.794947621098 * CHOOSE(CONTROL!$C$9, $C$13, 100%, $E$13) + CHOOSE(CONTROL!$C$28, 0, 0)</f>
        <v>100.794947621098</v>
      </c>
    </row>
    <row r="164" spans="1:5" ht="15">
      <c r="A164" s="13">
        <v>46844</v>
      </c>
      <c r="B164" s="4">
        <f>18.1712 * CHOOSE(CONTROL!$C$9, $C$13, 100%, $E$13) + CHOOSE(CONTROL!$C$28, 0.0003, 0)</f>
        <v>18.171499999999998</v>
      </c>
      <c r="C164" s="4">
        <f>17.8587 * CHOOSE(CONTROL!$C$9, $C$13, 100%, $E$13) + CHOOSE(CONTROL!$C$28, 0.0003, 0)</f>
        <v>17.858999999999998</v>
      </c>
      <c r="D164" s="4">
        <f>25.3681 * CHOOSE(CONTROL!$C$9, $C$13, 100%, $E$13) + CHOOSE(CONTROL!$C$28, 0, 0)</f>
        <v>25.368099999999998</v>
      </c>
      <c r="E164" s="4">
        <f>104.906433228935 * CHOOSE(CONTROL!$C$9, $C$13, 100%, $E$13) + CHOOSE(CONTROL!$C$28, 0, 0)</f>
        <v>104.906433228935</v>
      </c>
    </row>
    <row r="165" spans="1:5" ht="15">
      <c r="A165" s="13">
        <v>46874</v>
      </c>
      <c r="B165" s="4">
        <f>18.5614 * CHOOSE(CONTROL!$C$9, $C$13, 100%, $E$13) + CHOOSE(CONTROL!$C$28, 0.0294, 0)</f>
        <v>18.590799999999998</v>
      </c>
      <c r="C165" s="4">
        <f>18.2489 * CHOOSE(CONTROL!$C$9, $C$13, 100%, $E$13) + CHOOSE(CONTROL!$C$28, 0.0294, 0)</f>
        <v>18.278299999999998</v>
      </c>
      <c r="D165" s="4">
        <f>25.105 * CHOOSE(CONTROL!$C$9, $C$13, 100%, $E$13) + CHOOSE(CONTROL!$C$28, 0, 0)</f>
        <v>25.105</v>
      </c>
      <c r="E165" s="4">
        <f>107.418452396766 * CHOOSE(CONTROL!$C$9, $C$13, 100%, $E$13) + CHOOSE(CONTROL!$C$28, 0, 0)</f>
        <v>107.418452396766</v>
      </c>
    </row>
    <row r="166" spans="1:5" ht="15">
      <c r="A166" s="13">
        <v>46905</v>
      </c>
      <c r="B166" s="4">
        <f>18.6142 * CHOOSE(CONTROL!$C$9, $C$13, 100%, $E$13) + CHOOSE(CONTROL!$C$28, 0.0294, 0)</f>
        <v>18.643599999999999</v>
      </c>
      <c r="C166" s="4">
        <f>18.3017 * CHOOSE(CONTROL!$C$9, $C$13, 100%, $E$13) + CHOOSE(CONTROL!$C$28, 0.0294, 0)</f>
        <v>18.331099999999999</v>
      </c>
      <c r="D166" s="4">
        <f>25.3193 * CHOOSE(CONTROL!$C$9, $C$13, 100%, $E$13) + CHOOSE(CONTROL!$C$28, 0, 0)</f>
        <v>25.319299999999998</v>
      </c>
      <c r="E166" s="4">
        <f>107.758339015267 * CHOOSE(CONTROL!$C$9, $C$13, 100%, $E$13) + CHOOSE(CONTROL!$C$28, 0, 0)</f>
        <v>107.758339015267</v>
      </c>
    </row>
    <row r="167" spans="1:5" ht="15">
      <c r="A167" s="13">
        <v>46935</v>
      </c>
      <c r="B167" s="4">
        <f>18.6089 * CHOOSE(CONTROL!$C$9, $C$13, 100%, $E$13) + CHOOSE(CONTROL!$C$28, 0.0294, 0)</f>
        <v>18.638299999999997</v>
      </c>
      <c r="C167" s="4">
        <f>18.2964 * CHOOSE(CONTROL!$C$9, $C$13, 100%, $E$13) + CHOOSE(CONTROL!$C$28, 0.0294, 0)</f>
        <v>18.325799999999997</v>
      </c>
      <c r="D167" s="4">
        <f>25.706 * CHOOSE(CONTROL!$C$9, $C$13, 100%, $E$13) + CHOOSE(CONTROL!$C$28, 0, 0)</f>
        <v>25.706</v>
      </c>
      <c r="E167" s="4">
        <f>107.72406473441 * CHOOSE(CONTROL!$C$9, $C$13, 100%, $E$13) + CHOOSE(CONTROL!$C$28, 0, 0)</f>
        <v>107.72406473441001</v>
      </c>
    </row>
    <row r="168" spans="1:5" ht="15">
      <c r="A168" s="13">
        <v>46966</v>
      </c>
      <c r="B168" s="4">
        <f>19.0095 * CHOOSE(CONTROL!$C$9, $C$13, 100%, $E$13) + CHOOSE(CONTROL!$C$28, 0.0294, 0)</f>
        <v>19.038899999999998</v>
      </c>
      <c r="C168" s="4">
        <f>18.697 * CHOOSE(CONTROL!$C$9, $C$13, 100%, $E$13) + CHOOSE(CONTROL!$C$28, 0.0294, 0)</f>
        <v>18.726399999999998</v>
      </c>
      <c r="D168" s="4">
        <f>25.4506 * CHOOSE(CONTROL!$C$9, $C$13, 100%, $E$13) + CHOOSE(CONTROL!$C$28, 0, 0)</f>
        <v>25.450600000000001</v>
      </c>
      <c r="E168" s="4">
        <f>110.30320436892 * CHOOSE(CONTROL!$C$9, $C$13, 100%, $E$13) + CHOOSE(CONTROL!$C$28, 0, 0)</f>
        <v>110.30320436892001</v>
      </c>
    </row>
    <row r="169" spans="1:5" ht="15">
      <c r="A169" s="13">
        <v>46997</v>
      </c>
      <c r="B169" s="4">
        <f>18.3267 * CHOOSE(CONTROL!$C$9, $C$13, 100%, $E$13) + CHOOSE(CONTROL!$C$28, 0.0294, 0)</f>
        <v>18.356099999999998</v>
      </c>
      <c r="C169" s="4">
        <f>18.0142 * CHOOSE(CONTROL!$C$9, $C$13, 100%, $E$13) + CHOOSE(CONTROL!$C$28, 0.0294, 0)</f>
        <v>18.043599999999998</v>
      </c>
      <c r="D169" s="4">
        <f>25.3299 * CHOOSE(CONTROL!$C$9, $C$13, 100%, $E$13) + CHOOSE(CONTROL!$C$28, 0, 0)</f>
        <v>25.329899999999999</v>
      </c>
      <c r="E169" s="4">
        <f>105.907527848974 * CHOOSE(CONTROL!$C$9, $C$13, 100%, $E$13) + CHOOSE(CONTROL!$C$28, 0, 0)</f>
        <v>105.907527848974</v>
      </c>
    </row>
    <row r="170" spans="1:5" ht="15">
      <c r="A170" s="13">
        <v>47027</v>
      </c>
      <c r="B170" s="4">
        <f>17.7801 * CHOOSE(CONTROL!$C$9, $C$13, 100%, $E$13) + CHOOSE(CONTROL!$C$28, 0.0003, 0)</f>
        <v>17.7804</v>
      </c>
      <c r="C170" s="4">
        <f>17.4676 * CHOOSE(CONTROL!$C$9, $C$13, 100%, $E$13) + CHOOSE(CONTROL!$C$28, 0.0003, 0)</f>
        <v>17.4679</v>
      </c>
      <c r="D170" s="4">
        <f>25.0069 * CHOOSE(CONTROL!$C$9, $C$13, 100%, $E$13) + CHOOSE(CONTROL!$C$28, 0, 0)</f>
        <v>25.006900000000002</v>
      </c>
      <c r="E170" s="4">
        <f>102.388701680961 * CHOOSE(CONTROL!$C$9, $C$13, 100%, $E$13) + CHOOSE(CONTROL!$C$28, 0, 0)</f>
        <v>102.38870168096101</v>
      </c>
    </row>
    <row r="171" spans="1:5" ht="15">
      <c r="A171" s="13">
        <v>47058</v>
      </c>
      <c r="B171" s="4">
        <f>17.428 * CHOOSE(CONTROL!$C$9, $C$13, 100%, $E$13) + CHOOSE(CONTROL!$C$28, 0.0003, 0)</f>
        <v>17.4283</v>
      </c>
      <c r="C171" s="4">
        <f>17.1155 * CHOOSE(CONTROL!$C$9, $C$13, 100%, $E$13) + CHOOSE(CONTROL!$C$28, 0.0003, 0)</f>
        <v>17.1158</v>
      </c>
      <c r="D171" s="4">
        <f>24.8958 * CHOOSE(CONTROL!$C$9, $C$13, 100%, $E$13) + CHOOSE(CONTROL!$C$28, 0, 0)</f>
        <v>24.895800000000001</v>
      </c>
      <c r="E171" s="4">
        <f>100.122314859274 * CHOOSE(CONTROL!$C$9, $C$13, 100%, $E$13) + CHOOSE(CONTROL!$C$28, 0, 0)</f>
        <v>100.122314859274</v>
      </c>
    </row>
    <row r="172" spans="1:5" ht="15">
      <c r="A172" s="13">
        <v>47088</v>
      </c>
      <c r="B172" s="4">
        <f>17.1844 * CHOOSE(CONTROL!$C$9, $C$13, 100%, $E$13) + CHOOSE(CONTROL!$C$28, 0.0003, 0)</f>
        <v>17.184699999999999</v>
      </c>
      <c r="C172" s="4">
        <f>16.8719 * CHOOSE(CONTROL!$C$9, $C$13, 100%, $E$13) + CHOOSE(CONTROL!$C$28, 0.0003, 0)</f>
        <v>16.872199999999999</v>
      </c>
      <c r="D172" s="4">
        <f>24.078 * CHOOSE(CONTROL!$C$9, $C$13, 100%, $E$13) + CHOOSE(CONTROL!$C$28, 0, 0)</f>
        <v>24.077999999999999</v>
      </c>
      <c r="E172" s="4">
        <f>98.5542665100536 * CHOOSE(CONTROL!$C$9, $C$13, 100%, $E$13) + CHOOSE(CONTROL!$C$28, 0, 0)</f>
        <v>98.554266510053594</v>
      </c>
    </row>
    <row r="173" spans="1:5" ht="15">
      <c r="A173" s="13">
        <v>47119</v>
      </c>
      <c r="B173" s="4">
        <f>16.6936 * CHOOSE(CONTROL!$C$9, $C$13, 100%, $E$13) + CHOOSE(CONTROL!$C$28, 0.0003, 0)</f>
        <v>16.693899999999999</v>
      </c>
      <c r="C173" s="4">
        <f>16.3811 * CHOOSE(CONTROL!$C$9, $C$13, 100%, $E$13) + CHOOSE(CONTROL!$C$28, 0.0003, 0)</f>
        <v>16.381399999999999</v>
      </c>
      <c r="D173" s="4">
        <f>23.2351 * CHOOSE(CONTROL!$C$9, $C$13, 100%, $E$13) + CHOOSE(CONTROL!$C$28, 0, 0)</f>
        <v>23.235099999999999</v>
      </c>
      <c r="E173" s="4">
        <f>95.3972244926834 * CHOOSE(CONTROL!$C$9, $C$13, 100%, $E$13) + CHOOSE(CONTROL!$C$28, 0, 0)</f>
        <v>95.397224492683407</v>
      </c>
    </row>
    <row r="174" spans="1:5" ht="15">
      <c r="A174" s="13">
        <v>47150</v>
      </c>
      <c r="B174" s="4">
        <f>17.0454 * CHOOSE(CONTROL!$C$9, $C$13, 100%, $E$13) + CHOOSE(CONTROL!$C$28, 0.0003, 0)</f>
        <v>17.0457</v>
      </c>
      <c r="C174" s="4">
        <f>16.7329 * CHOOSE(CONTROL!$C$9, $C$13, 100%, $E$13) + CHOOSE(CONTROL!$C$28, 0.0003, 0)</f>
        <v>16.7332</v>
      </c>
      <c r="D174" s="4">
        <f>23.9887 * CHOOSE(CONTROL!$C$9, $C$13, 100%, $E$13) + CHOOSE(CONTROL!$C$28, 0, 0)</f>
        <v>23.988700000000001</v>
      </c>
      <c r="E174" s="4">
        <f>97.6623305539623 * CHOOSE(CONTROL!$C$9, $C$13, 100%, $E$13) + CHOOSE(CONTROL!$C$28, 0, 0)</f>
        <v>97.662330553962306</v>
      </c>
    </row>
    <row r="175" spans="1:5" ht="15">
      <c r="A175" s="13">
        <v>47178</v>
      </c>
      <c r="B175" s="4">
        <f>17.9694 * CHOOSE(CONTROL!$C$9, $C$13, 100%, $E$13) + CHOOSE(CONTROL!$C$28, 0.0003, 0)</f>
        <v>17.9697</v>
      </c>
      <c r="C175" s="4">
        <f>17.6569 * CHOOSE(CONTROL!$C$9, $C$13, 100%, $E$13) + CHOOSE(CONTROL!$C$28, 0.0003, 0)</f>
        <v>17.6572</v>
      </c>
      <c r="D175" s="4">
        <f>25.1684 * CHOOSE(CONTROL!$C$9, $C$13, 100%, $E$13) + CHOOSE(CONTROL!$C$28, 0, 0)</f>
        <v>25.168399999999998</v>
      </c>
      <c r="E175" s="4">
        <f>103.610619445927 * CHOOSE(CONTROL!$C$9, $C$13, 100%, $E$13) + CHOOSE(CONTROL!$C$28, 0, 0)</f>
        <v>103.610619445927</v>
      </c>
    </row>
    <row r="176" spans="1:5" ht="15">
      <c r="A176" s="13">
        <v>47209</v>
      </c>
      <c r="B176" s="4">
        <f>18.6259 * CHOOSE(CONTROL!$C$9, $C$13, 100%, $E$13) + CHOOSE(CONTROL!$C$28, 0.0003, 0)</f>
        <v>18.626200000000001</v>
      </c>
      <c r="C176" s="4">
        <f>18.3134 * CHOOSE(CONTROL!$C$9, $C$13, 100%, $E$13) + CHOOSE(CONTROL!$C$28, 0.0003, 0)</f>
        <v>18.313700000000001</v>
      </c>
      <c r="D176" s="4">
        <f>25.848 * CHOOSE(CONTROL!$C$9, $C$13, 100%, $E$13) + CHOOSE(CONTROL!$C$28, 0, 0)</f>
        <v>25.847999999999999</v>
      </c>
      <c r="E176" s="4">
        <f>107.836957975041 * CHOOSE(CONTROL!$C$9, $C$13, 100%, $E$13) + CHOOSE(CONTROL!$C$28, 0, 0)</f>
        <v>107.836957975041</v>
      </c>
    </row>
    <row r="177" spans="1:5" ht="15">
      <c r="A177" s="13">
        <v>47239</v>
      </c>
      <c r="B177" s="4">
        <f>19.027 * CHOOSE(CONTROL!$C$9, $C$13, 100%, $E$13) + CHOOSE(CONTROL!$C$28, 0.0294, 0)</f>
        <v>19.0564</v>
      </c>
      <c r="C177" s="4">
        <f>18.7145 * CHOOSE(CONTROL!$C$9, $C$13, 100%, $E$13) + CHOOSE(CONTROL!$C$28, 0.0294, 0)</f>
        <v>18.7439</v>
      </c>
      <c r="D177" s="4">
        <f>25.5794 * CHOOSE(CONTROL!$C$9, $C$13, 100%, $E$13) + CHOOSE(CONTROL!$C$28, 0, 0)</f>
        <v>25.5794</v>
      </c>
      <c r="E177" s="4">
        <f>110.419149525131 * CHOOSE(CONTROL!$C$9, $C$13, 100%, $E$13) + CHOOSE(CONTROL!$C$28, 0, 0)</f>
        <v>110.419149525131</v>
      </c>
    </row>
    <row r="178" spans="1:5" ht="15">
      <c r="A178" s="13">
        <v>47270</v>
      </c>
      <c r="B178" s="4">
        <f>19.0813 * CHOOSE(CONTROL!$C$9, $C$13, 100%, $E$13) + CHOOSE(CONTROL!$C$28, 0.0294, 0)</f>
        <v>19.110699999999998</v>
      </c>
      <c r="C178" s="4">
        <f>18.7688 * CHOOSE(CONTROL!$C$9, $C$13, 100%, $E$13) + CHOOSE(CONTROL!$C$28, 0.0294, 0)</f>
        <v>18.798199999999998</v>
      </c>
      <c r="D178" s="4">
        <f>25.7981 * CHOOSE(CONTROL!$C$9, $C$13, 100%, $E$13) + CHOOSE(CONTROL!$C$28, 0, 0)</f>
        <v>25.798100000000002</v>
      </c>
      <c r="E178" s="4">
        <f>110.768530758174 * CHOOSE(CONTROL!$C$9, $C$13, 100%, $E$13) + CHOOSE(CONTROL!$C$28, 0, 0)</f>
        <v>110.76853075817399</v>
      </c>
    </row>
    <row r="179" spans="1:5" ht="15">
      <c r="A179" s="13">
        <v>47300</v>
      </c>
      <c r="B179" s="4">
        <f>19.0758 * CHOOSE(CONTROL!$C$9, $C$13, 100%, $E$13) + CHOOSE(CONTROL!$C$28, 0.0294, 0)</f>
        <v>19.1052</v>
      </c>
      <c r="C179" s="4">
        <f>18.7633 * CHOOSE(CONTROL!$C$9, $C$13, 100%, $E$13) + CHOOSE(CONTROL!$C$28, 0.0294, 0)</f>
        <v>18.7927</v>
      </c>
      <c r="D179" s="4">
        <f>26.1927 * CHOOSE(CONTROL!$C$9, $C$13, 100%, $E$13) + CHOOSE(CONTROL!$C$28, 0, 0)</f>
        <v>26.192699999999999</v>
      </c>
      <c r="E179" s="4">
        <f>110.733299037195 * CHOOSE(CONTROL!$C$9, $C$13, 100%, $E$13) + CHOOSE(CONTROL!$C$28, 0, 0)</f>
        <v>110.733299037195</v>
      </c>
    </row>
    <row r="180" spans="1:5" ht="15">
      <c r="A180" s="13">
        <v>47331</v>
      </c>
      <c r="B180" s="4">
        <f>19.4876 * CHOOSE(CONTROL!$C$9, $C$13, 100%, $E$13) + CHOOSE(CONTROL!$C$28, 0.0294, 0)</f>
        <v>19.516999999999999</v>
      </c>
      <c r="C180" s="4">
        <f>19.1751 * CHOOSE(CONTROL!$C$9, $C$13, 100%, $E$13) + CHOOSE(CONTROL!$C$28, 0.0294, 0)</f>
        <v>19.204499999999999</v>
      </c>
      <c r="D180" s="4">
        <f>25.9321 * CHOOSE(CONTROL!$C$9, $C$13, 100%, $E$13) + CHOOSE(CONTROL!$C$28, 0, 0)</f>
        <v>25.932099999999998</v>
      </c>
      <c r="E180" s="4">
        <f>113.384486040869 * CHOOSE(CONTROL!$C$9, $C$13, 100%, $E$13) + CHOOSE(CONTROL!$C$28, 0, 0)</f>
        <v>113.38448604086901</v>
      </c>
    </row>
    <row r="181" spans="1:5" ht="15">
      <c r="A181" s="13">
        <v>47362</v>
      </c>
      <c r="B181" s="4">
        <f>18.7857 * CHOOSE(CONTROL!$C$9, $C$13, 100%, $E$13) + CHOOSE(CONTROL!$C$28, 0.0294, 0)</f>
        <v>18.815099999999997</v>
      </c>
      <c r="C181" s="4">
        <f>18.4732 * CHOOSE(CONTROL!$C$9, $C$13, 100%, $E$13) + CHOOSE(CONTROL!$C$28, 0.0294, 0)</f>
        <v>18.502599999999997</v>
      </c>
      <c r="D181" s="4">
        <f>25.809 * CHOOSE(CONTROL!$C$9, $C$13, 100%, $E$13) + CHOOSE(CONTROL!$C$28, 0, 0)</f>
        <v>25.809000000000001</v>
      </c>
      <c r="E181" s="4">
        <f>108.866017825304 * CHOOSE(CONTROL!$C$9, $C$13, 100%, $E$13) + CHOOSE(CONTROL!$C$28, 0, 0)</f>
        <v>108.866017825304</v>
      </c>
    </row>
    <row r="182" spans="1:5" ht="15">
      <c r="A182" s="13">
        <v>47392</v>
      </c>
      <c r="B182" s="4">
        <f>18.2239 * CHOOSE(CONTROL!$C$9, $C$13, 100%, $E$13) + CHOOSE(CONTROL!$C$28, 0.0003, 0)</f>
        <v>18.2242</v>
      </c>
      <c r="C182" s="4">
        <f>17.9114 * CHOOSE(CONTROL!$C$9, $C$13, 100%, $E$13) + CHOOSE(CONTROL!$C$28, 0.0003, 0)</f>
        <v>17.9117</v>
      </c>
      <c r="D182" s="4">
        <f>25.4793 * CHOOSE(CONTROL!$C$9, $C$13, 100%, $E$13) + CHOOSE(CONTROL!$C$28, 0, 0)</f>
        <v>25.479299999999999</v>
      </c>
      <c r="E182" s="4">
        <f>105.248894471454 * CHOOSE(CONTROL!$C$9, $C$13, 100%, $E$13) + CHOOSE(CONTROL!$C$28, 0, 0)</f>
        <v>105.24889447145399</v>
      </c>
    </row>
    <row r="183" spans="1:5" ht="15">
      <c r="A183" s="13">
        <v>47423</v>
      </c>
      <c r="B183" s="4">
        <f>17.862 * CHOOSE(CONTROL!$C$9, $C$13, 100%, $E$13) + CHOOSE(CONTROL!$C$28, 0.0003, 0)</f>
        <v>17.862299999999998</v>
      </c>
      <c r="C183" s="4">
        <f>17.5495 * CHOOSE(CONTROL!$C$9, $C$13, 100%, $E$13) + CHOOSE(CONTROL!$C$28, 0.0003, 0)</f>
        <v>17.549799999999998</v>
      </c>
      <c r="D183" s="4">
        <f>25.366 * CHOOSE(CONTROL!$C$9, $C$13, 100%, $E$13) + CHOOSE(CONTROL!$C$28, 0, 0)</f>
        <v>25.366</v>
      </c>
      <c r="E183" s="4">
        <f>102.919196921713 * CHOOSE(CONTROL!$C$9, $C$13, 100%, $E$13) + CHOOSE(CONTROL!$C$28, 0, 0)</f>
        <v>102.919196921713</v>
      </c>
    </row>
    <row r="184" spans="1:5" ht="15">
      <c r="A184" s="13">
        <v>47453</v>
      </c>
      <c r="B184" s="4">
        <f>17.6116 * CHOOSE(CONTROL!$C$9, $C$13, 100%, $E$13) + CHOOSE(CONTROL!$C$28, 0.0003, 0)</f>
        <v>17.611899999999999</v>
      </c>
      <c r="C184" s="4">
        <f>17.2991 * CHOOSE(CONTROL!$C$9, $C$13, 100%, $E$13) + CHOOSE(CONTROL!$C$28, 0.0003, 0)</f>
        <v>17.299399999999999</v>
      </c>
      <c r="D184" s="4">
        <f>24.5315 * CHOOSE(CONTROL!$C$9, $C$13, 100%, $E$13) + CHOOSE(CONTROL!$C$28, 0, 0)</f>
        <v>24.531500000000001</v>
      </c>
      <c r="E184" s="4">
        <f>101.307345686921 * CHOOSE(CONTROL!$C$9, $C$13, 100%, $E$13) + CHOOSE(CONTROL!$C$28, 0, 0)</f>
        <v>101.307345686921</v>
      </c>
    </row>
    <row r="185" spans="1:5" ht="15">
      <c r="A185" s="13">
        <v>47484</v>
      </c>
      <c r="B185" s="4">
        <f>17.0969 * CHOOSE(CONTROL!$C$9, $C$13, 100%, $E$13) + CHOOSE(CONTROL!$C$28, 0.0003, 0)</f>
        <v>17.097200000000001</v>
      </c>
      <c r="C185" s="4">
        <f>16.7844 * CHOOSE(CONTROL!$C$9, $C$13, 100%, $E$13) + CHOOSE(CONTROL!$C$28, 0.0003, 0)</f>
        <v>16.784700000000001</v>
      </c>
      <c r="D185" s="4">
        <f>23.6709 * CHOOSE(CONTROL!$C$9, $C$13, 100%, $E$13) + CHOOSE(CONTROL!$C$28, 0, 0)</f>
        <v>23.6709</v>
      </c>
      <c r="E185" s="4">
        <f>98.0092110701324 * CHOOSE(CONTROL!$C$9, $C$13, 100%, $E$13) + CHOOSE(CONTROL!$C$28, 0, 0)</f>
        <v>98.009211070132395</v>
      </c>
    </row>
    <row r="186" spans="1:5" ht="15">
      <c r="A186" s="13">
        <v>47515</v>
      </c>
      <c r="B186" s="4">
        <f>17.4583 * CHOOSE(CONTROL!$C$9, $C$13, 100%, $E$13) + CHOOSE(CONTROL!$C$28, 0.0003, 0)</f>
        <v>17.458600000000001</v>
      </c>
      <c r="C186" s="4">
        <f>17.1458 * CHOOSE(CONTROL!$C$9, $C$13, 100%, $E$13) + CHOOSE(CONTROL!$C$28, 0.0003, 0)</f>
        <v>17.146100000000001</v>
      </c>
      <c r="D186" s="4">
        <f>24.4399 * CHOOSE(CONTROL!$C$9, $C$13, 100%, $E$13) + CHOOSE(CONTROL!$C$28, 0, 0)</f>
        <v>24.439900000000002</v>
      </c>
      <c r="E186" s="4">
        <f>100.336335986363 * CHOOSE(CONTROL!$C$9, $C$13, 100%, $E$13) + CHOOSE(CONTROL!$C$28, 0, 0)</f>
        <v>100.336335986363</v>
      </c>
    </row>
    <row r="187" spans="1:5" ht="15">
      <c r="A187" s="13">
        <v>47543</v>
      </c>
      <c r="B187" s="4">
        <f>18.4075 * CHOOSE(CONTROL!$C$9, $C$13, 100%, $E$13) + CHOOSE(CONTROL!$C$28, 0.0003, 0)</f>
        <v>18.407799999999998</v>
      </c>
      <c r="C187" s="4">
        <f>18.095 * CHOOSE(CONTROL!$C$9, $C$13, 100%, $E$13) + CHOOSE(CONTROL!$C$28, 0.0003, 0)</f>
        <v>18.095299999999998</v>
      </c>
      <c r="D187" s="4">
        <f>25.6437 * CHOOSE(CONTROL!$C$9, $C$13, 100%, $E$13) + CHOOSE(CONTROL!$C$28, 0, 0)</f>
        <v>25.643699999999999</v>
      </c>
      <c r="E187" s="4">
        <f>106.447489687312 * CHOOSE(CONTROL!$C$9, $C$13, 100%, $E$13) + CHOOSE(CONTROL!$C$28, 0, 0)</f>
        <v>106.447489687312</v>
      </c>
    </row>
    <row r="188" spans="1:5" ht="15">
      <c r="A188" s="13">
        <v>47574</v>
      </c>
      <c r="B188" s="4">
        <f>19.0818 * CHOOSE(CONTROL!$C$9, $C$13, 100%, $E$13) + CHOOSE(CONTROL!$C$28, 0.0003, 0)</f>
        <v>19.082100000000001</v>
      </c>
      <c r="C188" s="4">
        <f>18.7693 * CHOOSE(CONTROL!$C$9, $C$13, 100%, $E$13) + CHOOSE(CONTROL!$C$28, 0.0003, 0)</f>
        <v>18.769600000000001</v>
      </c>
      <c r="D188" s="4">
        <f>26.3371 * CHOOSE(CONTROL!$C$9, $C$13, 100%, $E$13) + CHOOSE(CONTROL!$C$28, 0, 0)</f>
        <v>26.3371</v>
      </c>
      <c r="E188" s="4">
        <f>110.789545833667 * CHOOSE(CONTROL!$C$9, $C$13, 100%, $E$13) + CHOOSE(CONTROL!$C$28, 0, 0)</f>
        <v>110.78954583366701</v>
      </c>
    </row>
    <row r="189" spans="1:5" ht="15">
      <c r="A189" s="13">
        <v>47604</v>
      </c>
      <c r="B189" s="4">
        <f>19.4939 * CHOOSE(CONTROL!$C$9, $C$13, 100%, $E$13) + CHOOSE(CONTROL!$C$28, 0.0294, 0)</f>
        <v>19.523299999999999</v>
      </c>
      <c r="C189" s="4">
        <f>19.1814 * CHOOSE(CONTROL!$C$9, $C$13, 100%, $E$13) + CHOOSE(CONTROL!$C$28, 0.0294, 0)</f>
        <v>19.210799999999999</v>
      </c>
      <c r="D189" s="4">
        <f>26.0631 * CHOOSE(CONTROL!$C$9, $C$13, 100%, $E$13) + CHOOSE(CONTROL!$C$28, 0, 0)</f>
        <v>26.063099999999999</v>
      </c>
      <c r="E189" s="4">
        <f>113.442438074528 * CHOOSE(CONTROL!$C$9, $C$13, 100%, $E$13) + CHOOSE(CONTROL!$C$28, 0, 0)</f>
        <v>113.442438074528</v>
      </c>
    </row>
    <row r="190" spans="1:5" ht="15">
      <c r="A190" s="13">
        <v>47635</v>
      </c>
      <c r="B190" s="4">
        <f>19.5496 * CHOOSE(CONTROL!$C$9, $C$13, 100%, $E$13) + CHOOSE(CONTROL!$C$28, 0.0294, 0)</f>
        <v>19.579000000000001</v>
      </c>
      <c r="C190" s="4">
        <f>19.2371 * CHOOSE(CONTROL!$C$9, $C$13, 100%, $E$13) + CHOOSE(CONTROL!$C$28, 0.0294, 0)</f>
        <v>19.266500000000001</v>
      </c>
      <c r="D190" s="4">
        <f>26.2863 * CHOOSE(CONTROL!$C$9, $C$13, 100%, $E$13) + CHOOSE(CONTROL!$C$28, 0, 0)</f>
        <v>26.286300000000001</v>
      </c>
      <c r="E190" s="4">
        <f>113.801385404446 * CHOOSE(CONTROL!$C$9, $C$13, 100%, $E$13) + CHOOSE(CONTROL!$C$28, 0, 0)</f>
        <v>113.80138540444599</v>
      </c>
    </row>
    <row r="191" spans="1:5" ht="15">
      <c r="A191" s="13">
        <v>47665</v>
      </c>
      <c r="B191" s="4">
        <f>19.544 * CHOOSE(CONTROL!$C$9, $C$13, 100%, $E$13) + CHOOSE(CONTROL!$C$28, 0.0294, 0)</f>
        <v>19.573399999999999</v>
      </c>
      <c r="C191" s="4">
        <f>19.2315 * CHOOSE(CONTROL!$C$9, $C$13, 100%, $E$13) + CHOOSE(CONTROL!$C$28, 0.0294, 0)</f>
        <v>19.260899999999999</v>
      </c>
      <c r="D191" s="4">
        <f>26.689 * CHOOSE(CONTROL!$C$9, $C$13, 100%, $E$13) + CHOOSE(CONTROL!$C$28, 0, 0)</f>
        <v>26.689</v>
      </c>
      <c r="E191" s="4">
        <f>113.765189035042 * CHOOSE(CONTROL!$C$9, $C$13, 100%, $E$13) + CHOOSE(CONTROL!$C$28, 0, 0)</f>
        <v>113.765189035042</v>
      </c>
    </row>
    <row r="192" spans="1:5" ht="15">
      <c r="A192" s="13">
        <v>47696</v>
      </c>
      <c r="B192" s="4">
        <f>19.967 * CHOOSE(CONTROL!$C$9, $C$13, 100%, $E$13) + CHOOSE(CONTROL!$C$28, 0.0294, 0)</f>
        <v>19.996399999999998</v>
      </c>
      <c r="C192" s="4">
        <f>19.6545 * CHOOSE(CONTROL!$C$9, $C$13, 100%, $E$13) + CHOOSE(CONTROL!$C$28, 0.0294, 0)</f>
        <v>19.683899999999998</v>
      </c>
      <c r="D192" s="4">
        <f>26.423 * CHOOSE(CONTROL!$C$9, $C$13, 100%, $E$13) + CHOOSE(CONTROL!$C$28, 0, 0)</f>
        <v>26.422999999999998</v>
      </c>
      <c r="E192" s="4">
        <f>116.488965832652 * CHOOSE(CONTROL!$C$9, $C$13, 100%, $E$13) + CHOOSE(CONTROL!$C$28, 0, 0)</f>
        <v>116.488965832652</v>
      </c>
    </row>
    <row r="193" spans="1:5" ht="15">
      <c r="A193" s="13">
        <v>47727</v>
      </c>
      <c r="B193" s="4">
        <f>19.246 * CHOOSE(CONTROL!$C$9, $C$13, 100%, $E$13) + CHOOSE(CONTROL!$C$28, 0.0294, 0)</f>
        <v>19.275399999999998</v>
      </c>
      <c r="C193" s="4">
        <f>18.9335 * CHOOSE(CONTROL!$C$9, $C$13, 100%, $E$13) + CHOOSE(CONTROL!$C$28, 0.0294, 0)</f>
        <v>18.962899999999998</v>
      </c>
      <c r="D193" s="4">
        <f>26.2974 * CHOOSE(CONTROL!$C$9, $C$13, 100%, $E$13) + CHOOSE(CONTROL!$C$28, 0, 0)</f>
        <v>26.2974</v>
      </c>
      <c r="E193" s="4">
        <f>111.84678145666 * CHOOSE(CONTROL!$C$9, $C$13, 100%, $E$13) + CHOOSE(CONTROL!$C$28, 0, 0)</f>
        <v>111.84678145666</v>
      </c>
    </row>
    <row r="194" spans="1:5" ht="15">
      <c r="A194" s="13">
        <v>47757</v>
      </c>
      <c r="B194" s="4">
        <f>18.6689 * CHOOSE(CONTROL!$C$9, $C$13, 100%, $E$13) + CHOOSE(CONTROL!$C$28, 0.0003, 0)</f>
        <v>18.6692</v>
      </c>
      <c r="C194" s="4">
        <f>18.3564 * CHOOSE(CONTROL!$C$9, $C$13, 100%, $E$13) + CHOOSE(CONTROL!$C$28, 0.0003, 0)</f>
        <v>18.3567</v>
      </c>
      <c r="D194" s="4">
        <f>25.961 * CHOOSE(CONTROL!$C$9, $C$13, 100%, $E$13) + CHOOSE(CONTROL!$C$28, 0, 0)</f>
        <v>25.960999999999999</v>
      </c>
      <c r="E194" s="4">
        <f>108.130620864572 * CHOOSE(CONTROL!$C$9, $C$13, 100%, $E$13) + CHOOSE(CONTROL!$C$28, 0, 0)</f>
        <v>108.13062086457199</v>
      </c>
    </row>
    <row r="195" spans="1:5" ht="15">
      <c r="A195" s="13">
        <v>47788</v>
      </c>
      <c r="B195" s="4">
        <f>18.2971 * CHOOSE(CONTROL!$C$9, $C$13, 100%, $E$13) + CHOOSE(CONTROL!$C$28, 0.0003, 0)</f>
        <v>18.2974</v>
      </c>
      <c r="C195" s="4">
        <f>17.9846 * CHOOSE(CONTROL!$C$9, $C$13, 100%, $E$13) + CHOOSE(CONTROL!$C$28, 0.0003, 0)</f>
        <v>17.9849</v>
      </c>
      <c r="D195" s="4">
        <f>25.8453 * CHOOSE(CONTROL!$C$9, $C$13, 100%, $E$13) + CHOOSE(CONTROL!$C$28, 0, 0)</f>
        <v>25.845300000000002</v>
      </c>
      <c r="E195" s="4">
        <f>105.737135937769 * CHOOSE(CONTROL!$C$9, $C$13, 100%, $E$13) + CHOOSE(CONTROL!$C$28, 0, 0)</f>
        <v>105.737135937769</v>
      </c>
    </row>
    <row r="196" spans="1:5" ht="15">
      <c r="A196" s="13">
        <v>47818</v>
      </c>
      <c r="B196" s="4">
        <f>18.04 * CHOOSE(CONTROL!$C$9, $C$13, 100%, $E$13) + CHOOSE(CONTROL!$C$28, 0.0003, 0)</f>
        <v>18.040299999999998</v>
      </c>
      <c r="C196" s="4">
        <f>17.7275 * CHOOSE(CONTROL!$C$9, $C$13, 100%, $E$13) + CHOOSE(CONTROL!$C$28, 0.0003, 0)</f>
        <v>17.727799999999998</v>
      </c>
      <c r="D196" s="4">
        <f>24.9939 * CHOOSE(CONTROL!$C$9, $C$13, 100%, $E$13) + CHOOSE(CONTROL!$C$28, 0, 0)</f>
        <v>24.9939</v>
      </c>
      <c r="E196" s="4">
        <f>104.081152037561 * CHOOSE(CONTROL!$C$9, $C$13, 100%, $E$13) + CHOOSE(CONTROL!$C$28, 0, 0)</f>
        <v>104.081152037561</v>
      </c>
    </row>
    <row r="197" spans="1:5" ht="15">
      <c r="A197" s="13">
        <v>47849</v>
      </c>
      <c r="B197" s="4">
        <f>17.3992 * CHOOSE(CONTROL!$C$9, $C$13, 100%, $E$13) + CHOOSE(CONTROL!$C$28, 0.0003, 0)</f>
        <v>17.3995</v>
      </c>
      <c r="C197" s="4">
        <f>17.0867 * CHOOSE(CONTROL!$C$9, $C$13, 100%, $E$13) + CHOOSE(CONTROL!$C$28, 0.0003, 0)</f>
        <v>17.087</v>
      </c>
      <c r="D197" s="4">
        <f>24.0064 * CHOOSE(CONTROL!$C$9, $C$13, 100%, $E$13) + CHOOSE(CONTROL!$C$28, 0, 0)</f>
        <v>24.006399999999999</v>
      </c>
      <c r="E197" s="4">
        <f>100.014666401381 * CHOOSE(CONTROL!$C$9, $C$13, 100%, $E$13) + CHOOSE(CONTROL!$C$28, 0, 0)</f>
        <v>100.01466640138101</v>
      </c>
    </row>
    <row r="198" spans="1:5" ht="15">
      <c r="A198" s="13">
        <v>47880</v>
      </c>
      <c r="B198" s="4">
        <f>17.7678 * CHOOSE(CONTROL!$C$9, $C$13, 100%, $E$13) + CHOOSE(CONTROL!$C$28, 0.0003, 0)</f>
        <v>17.7681</v>
      </c>
      <c r="C198" s="4">
        <f>17.4553 * CHOOSE(CONTROL!$C$9, $C$13, 100%, $E$13) + CHOOSE(CONTROL!$C$28, 0.0003, 0)</f>
        <v>17.4556</v>
      </c>
      <c r="D198" s="4">
        <f>24.7872 * CHOOSE(CONTROL!$C$9, $C$13, 100%, $E$13) + CHOOSE(CONTROL!$C$28, 0, 0)</f>
        <v>24.787199999999999</v>
      </c>
      <c r="E198" s="4">
        <f>102.389408730493 * CHOOSE(CONTROL!$C$9, $C$13, 100%, $E$13) + CHOOSE(CONTROL!$C$28, 0, 0)</f>
        <v>102.389408730493</v>
      </c>
    </row>
    <row r="199" spans="1:5" ht="15">
      <c r="A199" s="13">
        <v>47908</v>
      </c>
      <c r="B199" s="4">
        <f>18.7358 * CHOOSE(CONTROL!$C$9, $C$13, 100%, $E$13) + CHOOSE(CONTROL!$C$28, 0.0003, 0)</f>
        <v>18.7361</v>
      </c>
      <c r="C199" s="4">
        <f>18.4233 * CHOOSE(CONTROL!$C$9, $C$13, 100%, $E$13) + CHOOSE(CONTROL!$C$28, 0.0003, 0)</f>
        <v>18.4236</v>
      </c>
      <c r="D199" s="4">
        <f>26.0096 * CHOOSE(CONTROL!$C$9, $C$13, 100%, $E$13) + CHOOSE(CONTROL!$C$28, 0, 0)</f>
        <v>26.009599999999999</v>
      </c>
      <c r="E199" s="4">
        <f>108.625608288212 * CHOOSE(CONTROL!$C$9, $C$13, 100%, $E$13) + CHOOSE(CONTROL!$C$28, 0, 0)</f>
        <v>108.62560828821201</v>
      </c>
    </row>
    <row r="200" spans="1:5" ht="15">
      <c r="A200" s="13">
        <v>47939</v>
      </c>
      <c r="B200" s="4">
        <f>19.4235 * CHOOSE(CONTROL!$C$9, $C$13, 100%, $E$13) + CHOOSE(CONTROL!$C$28, 0.0003, 0)</f>
        <v>19.4238</v>
      </c>
      <c r="C200" s="4">
        <f>19.111 * CHOOSE(CONTROL!$C$9, $C$13, 100%, $E$13) + CHOOSE(CONTROL!$C$28, 0.0003, 0)</f>
        <v>19.1113</v>
      </c>
      <c r="D200" s="4">
        <f>26.7137 * CHOOSE(CONTROL!$C$9, $C$13, 100%, $E$13) + CHOOSE(CONTROL!$C$28, 0, 0)</f>
        <v>26.713699999999999</v>
      </c>
      <c r="E200" s="4">
        <f>113.056511182258 * CHOOSE(CONTROL!$C$9, $C$13, 100%, $E$13) + CHOOSE(CONTROL!$C$28, 0, 0)</f>
        <v>113.05651118225801</v>
      </c>
    </row>
    <row r="201" spans="1:5" ht="15">
      <c r="A201" s="13">
        <v>47969</v>
      </c>
      <c r="B201" s="4">
        <f>19.8437 * CHOOSE(CONTROL!$C$9, $C$13, 100%, $E$13) + CHOOSE(CONTROL!$C$28, 0.0294, 0)</f>
        <v>19.873099999999997</v>
      </c>
      <c r="C201" s="4">
        <f>19.5312 * CHOOSE(CONTROL!$C$9, $C$13, 100%, $E$13) + CHOOSE(CONTROL!$C$28, 0.0294, 0)</f>
        <v>19.560599999999997</v>
      </c>
      <c r="D201" s="4">
        <f>26.4354 * CHOOSE(CONTROL!$C$9, $C$13, 100%, $E$13) + CHOOSE(CONTROL!$C$28, 0, 0)</f>
        <v>26.435400000000001</v>
      </c>
      <c r="E201" s="4">
        <f>115.763686656599 * CHOOSE(CONTROL!$C$9, $C$13, 100%, $E$13) + CHOOSE(CONTROL!$C$28, 0, 0)</f>
        <v>115.76368665659901</v>
      </c>
    </row>
    <row r="202" spans="1:5" ht="15">
      <c r="A202" s="13">
        <v>48000</v>
      </c>
      <c r="B202" s="4">
        <f>19.9006 * CHOOSE(CONTROL!$C$9, $C$13, 100%, $E$13) + CHOOSE(CONTROL!$C$28, 0.0294, 0)</f>
        <v>19.93</v>
      </c>
      <c r="C202" s="4">
        <f>19.5881 * CHOOSE(CONTROL!$C$9, $C$13, 100%, $E$13) + CHOOSE(CONTROL!$C$28, 0.0294, 0)</f>
        <v>19.6175</v>
      </c>
      <c r="D202" s="4">
        <f>26.662 * CHOOSE(CONTROL!$C$9, $C$13, 100%, $E$13) + CHOOSE(CONTROL!$C$28, 0, 0)</f>
        <v>26.661999999999999</v>
      </c>
      <c r="E202" s="4">
        <f>116.129978733286 * CHOOSE(CONTROL!$C$9, $C$13, 100%, $E$13) + CHOOSE(CONTROL!$C$28, 0, 0)</f>
        <v>116.12997873328599</v>
      </c>
    </row>
    <row r="203" spans="1:5" ht="15">
      <c r="A203" s="13">
        <v>48030</v>
      </c>
      <c r="B203" s="4">
        <f>19.8949 * CHOOSE(CONTROL!$C$9, $C$13, 100%, $E$13) + CHOOSE(CONTROL!$C$28, 0.0294, 0)</f>
        <v>19.924299999999999</v>
      </c>
      <c r="C203" s="4">
        <f>19.5824 * CHOOSE(CONTROL!$C$9, $C$13, 100%, $E$13) + CHOOSE(CONTROL!$C$28, 0.0294, 0)</f>
        <v>19.611799999999999</v>
      </c>
      <c r="D203" s="4">
        <f>27.0709 * CHOOSE(CONTROL!$C$9, $C$13, 100%, $E$13) + CHOOSE(CONTROL!$C$28, 0, 0)</f>
        <v>27.070900000000002</v>
      </c>
      <c r="E203" s="4">
        <f>116.093041717149 * CHOOSE(CONTROL!$C$9, $C$13, 100%, $E$13) + CHOOSE(CONTROL!$C$28, 0, 0)</f>
        <v>116.09304171714901</v>
      </c>
    </row>
    <row r="204" spans="1:5" ht="15">
      <c r="A204" s="13">
        <v>48061</v>
      </c>
      <c r="B204" s="4">
        <f>20.3263 * CHOOSE(CONTROL!$C$9, $C$13, 100%, $E$13) + CHOOSE(CONTROL!$C$28, 0.0294, 0)</f>
        <v>20.355699999999999</v>
      </c>
      <c r="C204" s="4">
        <f>20.0138 * CHOOSE(CONTROL!$C$9, $C$13, 100%, $E$13) + CHOOSE(CONTROL!$C$28, 0.0294, 0)</f>
        <v>20.043199999999999</v>
      </c>
      <c r="D204" s="4">
        <f>26.8009 * CHOOSE(CONTROL!$C$9, $C$13, 100%, $E$13) + CHOOSE(CONTROL!$C$28, 0, 0)</f>
        <v>26.800899999999999</v>
      </c>
      <c r="E204" s="4">
        <f>118.872552181424 * CHOOSE(CONTROL!$C$9, $C$13, 100%, $E$13) + CHOOSE(CONTROL!$C$28, 0, 0)</f>
        <v>118.872552181424</v>
      </c>
    </row>
    <row r="205" spans="1:5" ht="15">
      <c r="A205" s="13">
        <v>48092</v>
      </c>
      <c r="B205" s="4">
        <f>19.591 * CHOOSE(CONTROL!$C$9, $C$13, 100%, $E$13) + CHOOSE(CONTROL!$C$28, 0.0294, 0)</f>
        <v>19.6204</v>
      </c>
      <c r="C205" s="4">
        <f>19.2785 * CHOOSE(CONTROL!$C$9, $C$13, 100%, $E$13) + CHOOSE(CONTROL!$C$28, 0.0294, 0)</f>
        <v>19.3079</v>
      </c>
      <c r="D205" s="4">
        <f>26.6733 * CHOOSE(CONTROL!$C$9, $C$13, 100%, $E$13) + CHOOSE(CONTROL!$C$28, 0, 0)</f>
        <v>26.673300000000001</v>
      </c>
      <c r="E205" s="4">
        <f>114.135379861913 * CHOOSE(CONTROL!$C$9, $C$13, 100%, $E$13) + CHOOSE(CONTROL!$C$28, 0, 0)</f>
        <v>114.13537986191299</v>
      </c>
    </row>
    <row r="206" spans="1:5" ht="15">
      <c r="A206" s="13">
        <v>48122</v>
      </c>
      <c r="B206" s="4">
        <f>19.0024 * CHOOSE(CONTROL!$C$9, $C$13, 100%, $E$13) + CHOOSE(CONTROL!$C$28, 0.0003, 0)</f>
        <v>19.002700000000001</v>
      </c>
      <c r="C206" s="4">
        <f>18.6899 * CHOOSE(CONTROL!$C$9, $C$13, 100%, $E$13) + CHOOSE(CONTROL!$C$28, 0.0003, 0)</f>
        <v>18.690200000000001</v>
      </c>
      <c r="D206" s="4">
        <f>26.3317 * CHOOSE(CONTROL!$C$9, $C$13, 100%, $E$13) + CHOOSE(CONTROL!$C$28, 0, 0)</f>
        <v>26.331700000000001</v>
      </c>
      <c r="E206" s="4">
        <f>110.343179538561 * CHOOSE(CONTROL!$C$9, $C$13, 100%, $E$13) + CHOOSE(CONTROL!$C$28, 0, 0)</f>
        <v>110.343179538561</v>
      </c>
    </row>
    <row r="207" spans="1:5" ht="15">
      <c r="A207" s="13">
        <v>48153</v>
      </c>
      <c r="B207" s="4">
        <f>18.6233 * CHOOSE(CONTROL!$C$9, $C$13, 100%, $E$13) + CHOOSE(CONTROL!$C$28, 0.0003, 0)</f>
        <v>18.6236</v>
      </c>
      <c r="C207" s="4">
        <f>18.3108 * CHOOSE(CONTROL!$C$9, $C$13, 100%, $E$13) + CHOOSE(CONTROL!$C$28, 0.0003, 0)</f>
        <v>18.3111</v>
      </c>
      <c r="D207" s="4">
        <f>26.2143 * CHOOSE(CONTROL!$C$9, $C$13, 100%, $E$13) + CHOOSE(CONTROL!$C$28, 0, 0)</f>
        <v>26.214300000000001</v>
      </c>
      <c r="E207" s="4">
        <f>107.900719346532 * CHOOSE(CONTROL!$C$9, $C$13, 100%, $E$13) + CHOOSE(CONTROL!$C$28, 0, 0)</f>
        <v>107.900719346532</v>
      </c>
    </row>
    <row r="208" spans="1:5" ht="15">
      <c r="A208" s="13">
        <v>48183</v>
      </c>
      <c r="B208" s="4">
        <f>18.361 * CHOOSE(CONTROL!$C$9, $C$13, 100%, $E$13) + CHOOSE(CONTROL!$C$28, 0.0003, 0)</f>
        <v>18.3613</v>
      </c>
      <c r="C208" s="4">
        <f>18.0485 * CHOOSE(CONTROL!$C$9, $C$13, 100%, $E$13) + CHOOSE(CONTROL!$C$28, 0.0003, 0)</f>
        <v>18.0488</v>
      </c>
      <c r="D208" s="4">
        <f>25.3497 * CHOOSE(CONTROL!$C$9, $C$13, 100%, $E$13) + CHOOSE(CONTROL!$C$28, 0, 0)</f>
        <v>25.349699999999999</v>
      </c>
      <c r="E208" s="4">
        <f>106.210850858286 * CHOOSE(CONTROL!$C$9, $C$13, 100%, $E$13) + CHOOSE(CONTROL!$C$28, 0, 0)</f>
        <v>106.21085085828599</v>
      </c>
    </row>
    <row r="209" spans="1:5" ht="15">
      <c r="A209" s="13">
        <v>48214</v>
      </c>
      <c r="B209" s="4">
        <f>17.7188 * CHOOSE(CONTROL!$C$9, $C$13, 100%, $E$13) + CHOOSE(CONTROL!$C$28, 0.0003, 0)</f>
        <v>17.719100000000001</v>
      </c>
      <c r="C209" s="4">
        <f>17.4063 * CHOOSE(CONTROL!$C$9, $C$13, 100%, $E$13) + CHOOSE(CONTROL!$C$28, 0.0003, 0)</f>
        <v>17.406600000000001</v>
      </c>
      <c r="D209" s="4">
        <f>24.3454 * CHOOSE(CONTROL!$C$9, $C$13, 100%, $E$13) + CHOOSE(CONTROL!$C$28, 0, 0)</f>
        <v>24.345400000000001</v>
      </c>
      <c r="E209" s="4">
        <f>102.029350418076 * CHOOSE(CONTROL!$C$9, $C$13, 100%, $E$13) + CHOOSE(CONTROL!$C$28, 0, 0)</f>
        <v>102.02935041807601</v>
      </c>
    </row>
    <row r="210" spans="1:5" ht="15">
      <c r="A210" s="13">
        <v>48245</v>
      </c>
      <c r="B210" s="4">
        <f>18.095 * CHOOSE(CONTROL!$C$9, $C$13, 100%, $E$13) + CHOOSE(CONTROL!$C$28, 0.0003, 0)</f>
        <v>18.095299999999998</v>
      </c>
      <c r="C210" s="4">
        <f>17.7825 * CHOOSE(CONTROL!$C$9, $C$13, 100%, $E$13) + CHOOSE(CONTROL!$C$28, 0.0003, 0)</f>
        <v>17.782799999999998</v>
      </c>
      <c r="D210" s="4">
        <f>25.1382 * CHOOSE(CONTROL!$C$9, $C$13, 100%, $E$13) + CHOOSE(CONTROL!$C$28, 0, 0)</f>
        <v>25.138200000000001</v>
      </c>
      <c r="E210" s="4">
        <f>104.451929285431 * CHOOSE(CONTROL!$C$9, $C$13, 100%, $E$13) + CHOOSE(CONTROL!$C$28, 0, 0)</f>
        <v>104.45192928543101</v>
      </c>
    </row>
    <row r="211" spans="1:5" ht="15">
      <c r="A211" s="13">
        <v>48274</v>
      </c>
      <c r="B211" s="4">
        <f>19.0829 * CHOOSE(CONTROL!$C$9, $C$13, 100%, $E$13) + CHOOSE(CONTROL!$C$28, 0.0003, 0)</f>
        <v>19.083199999999998</v>
      </c>
      <c r="C211" s="4">
        <f>18.7704 * CHOOSE(CONTROL!$C$9, $C$13, 100%, $E$13) + CHOOSE(CONTROL!$C$28, 0.0003, 0)</f>
        <v>18.770699999999998</v>
      </c>
      <c r="D211" s="4">
        <f>26.3793 * CHOOSE(CONTROL!$C$9, $C$13, 100%, $E$13) + CHOOSE(CONTROL!$C$28, 0, 0)</f>
        <v>26.379300000000001</v>
      </c>
      <c r="E211" s="4">
        <f>110.813750134766 * CHOOSE(CONTROL!$C$9, $C$13, 100%, $E$13) + CHOOSE(CONTROL!$C$28, 0, 0)</f>
        <v>110.813750134766</v>
      </c>
    </row>
    <row r="212" spans="1:5" ht="15">
      <c r="A212" s="13">
        <v>48305</v>
      </c>
      <c r="B212" s="4">
        <f>19.7848 * CHOOSE(CONTROL!$C$9, $C$13, 100%, $E$13) + CHOOSE(CONTROL!$C$28, 0.0003, 0)</f>
        <v>19.7851</v>
      </c>
      <c r="C212" s="4">
        <f>19.4723 * CHOOSE(CONTROL!$C$9, $C$13, 100%, $E$13) + CHOOSE(CONTROL!$C$28, 0.0003, 0)</f>
        <v>19.4726</v>
      </c>
      <c r="D212" s="4">
        <f>27.0942 * CHOOSE(CONTROL!$C$9, $C$13, 100%, $E$13) + CHOOSE(CONTROL!$C$28, 0, 0)</f>
        <v>27.094200000000001</v>
      </c>
      <c r="E212" s="4">
        <f>115.333908630629 * CHOOSE(CONTROL!$C$9, $C$13, 100%, $E$13) + CHOOSE(CONTROL!$C$28, 0, 0)</f>
        <v>115.333908630629</v>
      </c>
    </row>
    <row r="213" spans="1:5" ht="15">
      <c r="A213" s="13">
        <v>48335</v>
      </c>
      <c r="B213" s="4">
        <f>20.2137 * CHOOSE(CONTROL!$C$9, $C$13, 100%, $E$13) + CHOOSE(CONTROL!$C$28, 0.0294, 0)</f>
        <v>20.243099999999998</v>
      </c>
      <c r="C213" s="4">
        <f>19.9012 * CHOOSE(CONTROL!$C$9, $C$13, 100%, $E$13) + CHOOSE(CONTROL!$C$28, 0.0294, 0)</f>
        <v>19.930599999999998</v>
      </c>
      <c r="D213" s="4">
        <f>26.8117 * CHOOSE(CONTROL!$C$9, $C$13, 100%, $E$13) + CHOOSE(CONTROL!$C$28, 0, 0)</f>
        <v>26.811699999999998</v>
      </c>
      <c r="E213" s="4">
        <f>118.095617138522 * CHOOSE(CONTROL!$C$9, $C$13, 100%, $E$13) + CHOOSE(CONTROL!$C$28, 0, 0)</f>
        <v>118.095617138522</v>
      </c>
    </row>
    <row r="214" spans="1:5" ht="15">
      <c r="A214" s="13">
        <v>48366</v>
      </c>
      <c r="B214" s="4">
        <f>20.2717 * CHOOSE(CONTROL!$C$9, $C$13, 100%, $E$13) + CHOOSE(CONTROL!$C$28, 0.0294, 0)</f>
        <v>20.301099999999998</v>
      </c>
      <c r="C214" s="4">
        <f>19.9592 * CHOOSE(CONTROL!$C$9, $C$13, 100%, $E$13) + CHOOSE(CONTROL!$C$28, 0.0294, 0)</f>
        <v>19.988599999999998</v>
      </c>
      <c r="D214" s="4">
        <f>27.0418 * CHOOSE(CONTROL!$C$9, $C$13, 100%, $E$13) + CHOOSE(CONTROL!$C$28, 0, 0)</f>
        <v>27.041799999999999</v>
      </c>
      <c r="E214" s="4">
        <f>118.469287760965 * CHOOSE(CONTROL!$C$9, $C$13, 100%, $E$13) + CHOOSE(CONTROL!$C$28, 0, 0)</f>
        <v>118.469287760965</v>
      </c>
    </row>
    <row r="215" spans="1:5" ht="15">
      <c r="A215" s="13">
        <v>48396</v>
      </c>
      <c r="B215" s="4">
        <f>20.2659 * CHOOSE(CONTROL!$C$9, $C$13, 100%, $E$13) + CHOOSE(CONTROL!$C$28, 0.0294, 0)</f>
        <v>20.295299999999997</v>
      </c>
      <c r="C215" s="4">
        <f>19.9534 * CHOOSE(CONTROL!$C$9, $C$13, 100%, $E$13) + CHOOSE(CONTROL!$C$28, 0.0294, 0)</f>
        <v>19.982799999999997</v>
      </c>
      <c r="D215" s="4">
        <f>27.4569 * CHOOSE(CONTROL!$C$9, $C$13, 100%, $E$13) + CHOOSE(CONTROL!$C$28, 0, 0)</f>
        <v>27.456900000000001</v>
      </c>
      <c r="E215" s="4">
        <f>118.431606689795 * CHOOSE(CONTROL!$C$9, $C$13, 100%, $E$13) + CHOOSE(CONTROL!$C$28, 0, 0)</f>
        <v>118.431606689795</v>
      </c>
    </row>
    <row r="216" spans="1:5" ht="15">
      <c r="A216" s="13">
        <v>48427</v>
      </c>
      <c r="B216" s="4">
        <f>20.7062 * CHOOSE(CONTROL!$C$9, $C$13, 100%, $E$13) + CHOOSE(CONTROL!$C$28, 0.0294, 0)</f>
        <v>20.735599999999998</v>
      </c>
      <c r="C216" s="4">
        <f>20.3937 * CHOOSE(CONTROL!$C$9, $C$13, 100%, $E$13) + CHOOSE(CONTROL!$C$28, 0.0294, 0)</f>
        <v>20.423099999999998</v>
      </c>
      <c r="D216" s="4">
        <f>27.1827 * CHOOSE(CONTROL!$C$9, $C$13, 100%, $E$13) + CHOOSE(CONTROL!$C$28, 0, 0)</f>
        <v>27.182700000000001</v>
      </c>
      <c r="E216" s="4">
        <f>121.267107295396 * CHOOSE(CONTROL!$C$9, $C$13, 100%, $E$13) + CHOOSE(CONTROL!$C$28, 0, 0)</f>
        <v>121.267107295396</v>
      </c>
    </row>
    <row r="217" spans="1:5" ht="15">
      <c r="A217" s="13">
        <v>48458</v>
      </c>
      <c r="B217" s="4">
        <f>19.9557 * CHOOSE(CONTROL!$C$9, $C$13, 100%, $E$13) + CHOOSE(CONTROL!$C$28, 0.0294, 0)</f>
        <v>19.985099999999999</v>
      </c>
      <c r="C217" s="4">
        <f>19.6432 * CHOOSE(CONTROL!$C$9, $C$13, 100%, $E$13) + CHOOSE(CONTROL!$C$28, 0.0294, 0)</f>
        <v>19.672599999999999</v>
      </c>
      <c r="D217" s="4">
        <f>27.0532 * CHOOSE(CONTROL!$C$9, $C$13, 100%, $E$13) + CHOOSE(CONTROL!$C$28, 0, 0)</f>
        <v>27.0532</v>
      </c>
      <c r="E217" s="4">
        <f>116.434509917743 * CHOOSE(CONTROL!$C$9, $C$13, 100%, $E$13) + CHOOSE(CONTROL!$C$28, 0, 0)</f>
        <v>116.434509917743</v>
      </c>
    </row>
    <row r="218" spans="1:5" ht="15">
      <c r="A218" s="13">
        <v>48488</v>
      </c>
      <c r="B218" s="4">
        <f>19.355 * CHOOSE(CONTROL!$C$9, $C$13, 100%, $E$13) + CHOOSE(CONTROL!$C$28, 0.0003, 0)</f>
        <v>19.3553</v>
      </c>
      <c r="C218" s="4">
        <f>19.0425 * CHOOSE(CONTROL!$C$9, $C$13, 100%, $E$13) + CHOOSE(CONTROL!$C$28, 0.0003, 0)</f>
        <v>19.0428</v>
      </c>
      <c r="D218" s="4">
        <f>26.7064 * CHOOSE(CONTROL!$C$9, $C$13, 100%, $E$13) + CHOOSE(CONTROL!$C$28, 0, 0)</f>
        <v>26.706399999999999</v>
      </c>
      <c r="E218" s="4">
        <f>112.565919944208 * CHOOSE(CONTROL!$C$9, $C$13, 100%, $E$13) + CHOOSE(CONTROL!$C$28, 0, 0)</f>
        <v>112.56591994420801</v>
      </c>
    </row>
    <row r="219" spans="1:5" ht="15">
      <c r="A219" s="13">
        <v>48519</v>
      </c>
      <c r="B219" s="4">
        <f>18.9681 * CHOOSE(CONTROL!$C$9, $C$13, 100%, $E$13) + CHOOSE(CONTROL!$C$28, 0.0003, 0)</f>
        <v>18.968399999999999</v>
      </c>
      <c r="C219" s="4">
        <f>18.6556 * CHOOSE(CONTROL!$C$9, $C$13, 100%, $E$13) + CHOOSE(CONTROL!$C$28, 0.0003, 0)</f>
        <v>18.655899999999999</v>
      </c>
      <c r="D219" s="4">
        <f>26.5872 * CHOOSE(CONTROL!$C$9, $C$13, 100%, $E$13) + CHOOSE(CONTROL!$C$28, 0, 0)</f>
        <v>26.587199999999999</v>
      </c>
      <c r="E219" s="4">
        <f>110.07425911304 * CHOOSE(CONTROL!$C$9, $C$13, 100%, $E$13) + CHOOSE(CONTROL!$C$28, 0, 0)</f>
        <v>110.07425911304</v>
      </c>
    </row>
    <row r="220" spans="1:5" ht="15">
      <c r="A220" s="13">
        <v>48549</v>
      </c>
      <c r="B220" s="4">
        <f>18.7004 * CHOOSE(CONTROL!$C$9, $C$13, 100%, $E$13) + CHOOSE(CONTROL!$C$28, 0.0003, 0)</f>
        <v>18.700699999999998</v>
      </c>
      <c r="C220" s="4">
        <f>18.3879 * CHOOSE(CONTROL!$C$9, $C$13, 100%, $E$13) + CHOOSE(CONTROL!$C$28, 0.0003, 0)</f>
        <v>18.388199999999998</v>
      </c>
      <c r="D220" s="4">
        <f>25.7093 * CHOOSE(CONTROL!$C$9, $C$13, 100%, $E$13) + CHOOSE(CONTROL!$C$28, 0, 0)</f>
        <v>25.709299999999999</v>
      </c>
      <c r="E220" s="4">
        <f>108.350350106976 * CHOOSE(CONTROL!$C$9, $C$13, 100%, $E$13) + CHOOSE(CONTROL!$C$28, 0, 0)</f>
        <v>108.35035010697599</v>
      </c>
    </row>
    <row r="221" spans="1:5" ht="15">
      <c r="A221" s="13">
        <v>48580</v>
      </c>
      <c r="B221" s="4">
        <f>18.0346 * CHOOSE(CONTROL!$C$9, $C$13, 100%, $E$13) + CHOOSE(CONTROL!$C$28, 0.0003, 0)</f>
        <v>18.0349</v>
      </c>
      <c r="C221" s="4">
        <f>17.7221 * CHOOSE(CONTROL!$C$9, $C$13, 100%, $E$13) + CHOOSE(CONTROL!$C$28, 0.0003, 0)</f>
        <v>17.7224</v>
      </c>
      <c r="D221" s="4">
        <f>24.6803 * CHOOSE(CONTROL!$C$9, $C$13, 100%, $E$13) + CHOOSE(CONTROL!$C$28, 0, 0)</f>
        <v>24.680299999999999</v>
      </c>
      <c r="E221" s="4">
        <f>104.029991681319 * CHOOSE(CONTROL!$C$9, $C$13, 100%, $E$13) + CHOOSE(CONTROL!$C$28, 0, 0)</f>
        <v>104.029991681319</v>
      </c>
    </row>
    <row r="222" spans="1:5" ht="15">
      <c r="A222" s="13">
        <v>48611</v>
      </c>
      <c r="B222" s="4">
        <f>18.4183 * CHOOSE(CONTROL!$C$9, $C$13, 100%, $E$13) + CHOOSE(CONTROL!$C$28, 0.0003, 0)</f>
        <v>18.418599999999998</v>
      </c>
      <c r="C222" s="4">
        <f>18.1058 * CHOOSE(CONTROL!$C$9, $C$13, 100%, $E$13) + CHOOSE(CONTROL!$C$28, 0.0003, 0)</f>
        <v>18.106099999999998</v>
      </c>
      <c r="D222" s="4">
        <f>25.4849 * CHOOSE(CONTROL!$C$9, $C$13, 100%, $E$13) + CHOOSE(CONTROL!$C$28, 0, 0)</f>
        <v>25.4849</v>
      </c>
      <c r="E222" s="4">
        <f>106.50007365661 * CHOOSE(CONTROL!$C$9, $C$13, 100%, $E$13) + CHOOSE(CONTROL!$C$28, 0, 0)</f>
        <v>106.50007365661</v>
      </c>
    </row>
    <row r="223" spans="1:5" ht="15">
      <c r="A223" s="13">
        <v>48639</v>
      </c>
      <c r="B223" s="4">
        <f>19.4259 * CHOOSE(CONTROL!$C$9, $C$13, 100%, $E$13) + CHOOSE(CONTROL!$C$28, 0.0003, 0)</f>
        <v>19.426199999999998</v>
      </c>
      <c r="C223" s="4">
        <f>19.1134 * CHOOSE(CONTROL!$C$9, $C$13, 100%, $E$13) + CHOOSE(CONTROL!$C$28, 0.0003, 0)</f>
        <v>19.113699999999998</v>
      </c>
      <c r="D223" s="4">
        <f>26.7445 * CHOOSE(CONTROL!$C$9, $C$13, 100%, $E$13) + CHOOSE(CONTROL!$C$28, 0, 0)</f>
        <v>26.744499999999999</v>
      </c>
      <c r="E223" s="4">
        <f>112.986640191852 * CHOOSE(CONTROL!$C$9, $C$13, 100%, $E$13) + CHOOSE(CONTROL!$C$28, 0, 0)</f>
        <v>112.986640191852</v>
      </c>
    </row>
    <row r="224" spans="1:5" ht="15">
      <c r="A224" s="13">
        <v>48670</v>
      </c>
      <c r="B224" s="4">
        <f>20.1419 * CHOOSE(CONTROL!$C$9, $C$13, 100%, $E$13) + CHOOSE(CONTROL!$C$28, 0.0003, 0)</f>
        <v>20.142199999999999</v>
      </c>
      <c r="C224" s="4">
        <f>19.8294 * CHOOSE(CONTROL!$C$9, $C$13, 100%, $E$13) + CHOOSE(CONTROL!$C$28, 0.0003, 0)</f>
        <v>19.829699999999999</v>
      </c>
      <c r="D224" s="4">
        <f>27.47 * CHOOSE(CONTROL!$C$9, $C$13, 100%, $E$13) + CHOOSE(CONTROL!$C$28, 0, 0)</f>
        <v>27.47</v>
      </c>
      <c r="E224" s="4">
        <f>117.595432160006 * CHOOSE(CONTROL!$C$9, $C$13, 100%, $E$13) + CHOOSE(CONTROL!$C$28, 0, 0)</f>
        <v>117.595432160006</v>
      </c>
    </row>
    <row r="225" spans="1:5" ht="15">
      <c r="A225" s="13">
        <v>48700</v>
      </c>
      <c r="B225" s="4">
        <f>20.5793 * CHOOSE(CONTROL!$C$9, $C$13, 100%, $E$13) + CHOOSE(CONTROL!$C$28, 0.0294, 0)</f>
        <v>20.608699999999999</v>
      </c>
      <c r="C225" s="4">
        <f>20.2668 * CHOOSE(CONTROL!$C$9, $C$13, 100%, $E$13) + CHOOSE(CONTROL!$C$28, 0.0294, 0)</f>
        <v>20.296199999999999</v>
      </c>
      <c r="D225" s="4">
        <f>27.1833 * CHOOSE(CONTROL!$C$9, $C$13, 100%, $E$13) + CHOOSE(CONTROL!$C$28, 0, 0)</f>
        <v>27.183299999999999</v>
      </c>
      <c r="E225" s="4">
        <f>120.411293595221 * CHOOSE(CONTROL!$C$9, $C$13, 100%, $E$13) + CHOOSE(CONTROL!$C$28, 0, 0)</f>
        <v>120.411293595221</v>
      </c>
    </row>
    <row r="226" spans="1:5" ht="15">
      <c r="A226" s="13">
        <v>48731</v>
      </c>
      <c r="B226" s="4">
        <f>20.6384 * CHOOSE(CONTROL!$C$9, $C$13, 100%, $E$13) + CHOOSE(CONTROL!$C$28, 0.0294, 0)</f>
        <v>20.6678</v>
      </c>
      <c r="C226" s="4">
        <f>20.3259 * CHOOSE(CONTROL!$C$9, $C$13, 100%, $E$13) + CHOOSE(CONTROL!$C$28, 0.0294, 0)</f>
        <v>20.3553</v>
      </c>
      <c r="D226" s="4">
        <f>27.4168 * CHOOSE(CONTROL!$C$9, $C$13, 100%, $E$13) + CHOOSE(CONTROL!$C$28, 0, 0)</f>
        <v>27.416799999999999</v>
      </c>
      <c r="E226" s="4">
        <f>120.792291333471 * CHOOSE(CONTROL!$C$9, $C$13, 100%, $E$13) + CHOOSE(CONTROL!$C$28, 0, 0)</f>
        <v>120.792291333471</v>
      </c>
    </row>
    <row r="227" spans="1:5" ht="15">
      <c r="A227" s="13">
        <v>48761</v>
      </c>
      <c r="B227" s="4">
        <f>20.6325 * CHOOSE(CONTROL!$C$9, $C$13, 100%, $E$13) + CHOOSE(CONTROL!$C$28, 0.0294, 0)</f>
        <v>20.661899999999999</v>
      </c>
      <c r="C227" s="4">
        <f>20.32 * CHOOSE(CONTROL!$C$9, $C$13, 100%, $E$13) + CHOOSE(CONTROL!$C$28, 0.0294, 0)</f>
        <v>20.349399999999999</v>
      </c>
      <c r="D227" s="4">
        <f>27.8381 * CHOOSE(CONTROL!$C$9, $C$13, 100%, $E$13) + CHOOSE(CONTROL!$C$28, 0, 0)</f>
        <v>27.838100000000001</v>
      </c>
      <c r="E227" s="4">
        <f>120.753871393479 * CHOOSE(CONTROL!$C$9, $C$13, 100%, $E$13) + CHOOSE(CONTROL!$C$28, 0, 0)</f>
        <v>120.753871393479</v>
      </c>
    </row>
    <row r="228" spans="1:5" ht="15">
      <c r="A228" s="13">
        <v>48792</v>
      </c>
      <c r="B228" s="4">
        <f>21.0816 * CHOOSE(CONTROL!$C$9, $C$13, 100%, $E$13) + CHOOSE(CONTROL!$C$28, 0.0294, 0)</f>
        <v>21.111000000000001</v>
      </c>
      <c r="C228" s="4">
        <f>20.7691 * CHOOSE(CONTROL!$C$9, $C$13, 100%, $E$13) + CHOOSE(CONTROL!$C$28, 0.0294, 0)</f>
        <v>20.798500000000001</v>
      </c>
      <c r="D228" s="4">
        <f>27.5599 * CHOOSE(CONTROL!$C$9, $C$13, 100%, $E$13) + CHOOSE(CONTROL!$C$28, 0, 0)</f>
        <v>27.559899999999999</v>
      </c>
      <c r="E228" s="4">
        <f>123.644971877844 * CHOOSE(CONTROL!$C$9, $C$13, 100%, $E$13) + CHOOSE(CONTROL!$C$28, 0, 0)</f>
        <v>123.644971877844</v>
      </c>
    </row>
    <row r="229" spans="1:5" ht="15">
      <c r="A229" s="13">
        <v>48823</v>
      </c>
      <c r="B229" s="4">
        <f>20.3162 * CHOOSE(CONTROL!$C$9, $C$13, 100%, $E$13) + CHOOSE(CONTROL!$C$28, 0.0294, 0)</f>
        <v>20.345599999999997</v>
      </c>
      <c r="C229" s="4">
        <f>20.0037 * CHOOSE(CONTROL!$C$9, $C$13, 100%, $E$13) + CHOOSE(CONTROL!$C$28, 0.0294, 0)</f>
        <v>20.033099999999997</v>
      </c>
      <c r="D229" s="4">
        <f>27.4284 * CHOOSE(CONTROL!$C$9, $C$13, 100%, $E$13) + CHOOSE(CONTROL!$C$28, 0, 0)</f>
        <v>27.4284</v>
      </c>
      <c r="E229" s="4">
        <f>118.717614573927 * CHOOSE(CONTROL!$C$9, $C$13, 100%, $E$13) + CHOOSE(CONTROL!$C$28, 0, 0)</f>
        <v>118.71761457392699</v>
      </c>
    </row>
    <row r="230" spans="1:5" ht="15">
      <c r="A230" s="13">
        <v>48853</v>
      </c>
      <c r="B230" s="4">
        <f>19.7035 * CHOOSE(CONTROL!$C$9, $C$13, 100%, $E$13) + CHOOSE(CONTROL!$C$28, 0.0003, 0)</f>
        <v>19.703799999999998</v>
      </c>
      <c r="C230" s="4">
        <f>19.391 * CHOOSE(CONTROL!$C$9, $C$13, 100%, $E$13) + CHOOSE(CONTROL!$C$28, 0.0003, 0)</f>
        <v>19.391299999999998</v>
      </c>
      <c r="D230" s="4">
        <f>27.0764 * CHOOSE(CONTROL!$C$9, $C$13, 100%, $E$13) + CHOOSE(CONTROL!$C$28, 0, 0)</f>
        <v>27.0764</v>
      </c>
      <c r="E230" s="4">
        <f>114.773167401459 * CHOOSE(CONTROL!$C$9, $C$13, 100%, $E$13) + CHOOSE(CONTROL!$C$28, 0, 0)</f>
        <v>114.77316740145901</v>
      </c>
    </row>
    <row r="231" spans="1:5" ht="15">
      <c r="A231" s="13">
        <v>48884</v>
      </c>
      <c r="B231" s="4">
        <f>19.3088 * CHOOSE(CONTROL!$C$9, $C$13, 100%, $E$13) + CHOOSE(CONTROL!$C$28, 0.0003, 0)</f>
        <v>19.309100000000001</v>
      </c>
      <c r="C231" s="4">
        <f>18.9963 * CHOOSE(CONTROL!$C$9, $C$13, 100%, $E$13) + CHOOSE(CONTROL!$C$28, 0.0003, 0)</f>
        <v>18.996600000000001</v>
      </c>
      <c r="D231" s="4">
        <f>26.9554 * CHOOSE(CONTROL!$C$9, $C$13, 100%, $E$13) + CHOOSE(CONTROL!$C$28, 0, 0)</f>
        <v>26.955400000000001</v>
      </c>
      <c r="E231" s="4">
        <f>112.232648869517 * CHOOSE(CONTROL!$C$9, $C$13, 100%, $E$13) + CHOOSE(CONTROL!$C$28, 0, 0)</f>
        <v>112.23264886951701</v>
      </c>
    </row>
    <row r="232" spans="1:5" ht="15">
      <c r="A232" s="13">
        <v>48914</v>
      </c>
      <c r="B232" s="4">
        <f>19.0358 * CHOOSE(CONTROL!$C$9, $C$13, 100%, $E$13) + CHOOSE(CONTROL!$C$28, 0.0003, 0)</f>
        <v>19.036099999999998</v>
      </c>
      <c r="C232" s="4">
        <f>18.7233 * CHOOSE(CONTROL!$C$9, $C$13, 100%, $E$13) + CHOOSE(CONTROL!$C$28, 0.0003, 0)</f>
        <v>18.723599999999998</v>
      </c>
      <c r="D232" s="4">
        <f>26.0645 * CHOOSE(CONTROL!$C$9, $C$13, 100%, $E$13) + CHOOSE(CONTROL!$C$28, 0, 0)</f>
        <v>26.064499999999999</v>
      </c>
      <c r="E232" s="4">
        <f>110.474936614903 * CHOOSE(CONTROL!$C$9, $C$13, 100%, $E$13) + CHOOSE(CONTROL!$C$28, 0, 0)</f>
        <v>110.474936614903</v>
      </c>
    </row>
    <row r="233" spans="1:5" ht="15">
      <c r="A233" s="13">
        <v>48945</v>
      </c>
      <c r="B233" s="4">
        <f>18.3558 * CHOOSE(CONTROL!$C$9, $C$13, 100%, $E$13) + CHOOSE(CONTROL!$C$28, 0.0003, 0)</f>
        <v>18.356099999999998</v>
      </c>
      <c r="C233" s="4">
        <f>18.0433 * CHOOSE(CONTROL!$C$9, $C$13, 100%, $E$13) + CHOOSE(CONTROL!$C$28, 0.0003, 0)</f>
        <v>18.043599999999998</v>
      </c>
      <c r="D233" s="4">
        <f>25.0211 * CHOOSE(CONTROL!$C$9, $C$13, 100%, $E$13) + CHOOSE(CONTROL!$C$28, 0, 0)</f>
        <v>25.021100000000001</v>
      </c>
      <c r="E233" s="4">
        <f>106.069441632989 * CHOOSE(CONTROL!$C$9, $C$13, 100%, $E$13) + CHOOSE(CONTROL!$C$28, 0, 0)</f>
        <v>106.069441632989</v>
      </c>
    </row>
    <row r="234" spans="1:5" ht="15">
      <c r="A234" s="13">
        <v>48976</v>
      </c>
      <c r="B234" s="4">
        <f>18.7471 * CHOOSE(CONTROL!$C$9, $C$13, 100%, $E$13) + CHOOSE(CONTROL!$C$28, 0.0003, 0)</f>
        <v>18.747399999999999</v>
      </c>
      <c r="C234" s="4">
        <f>18.4346 * CHOOSE(CONTROL!$C$9, $C$13, 100%, $E$13) + CHOOSE(CONTROL!$C$28, 0.0003, 0)</f>
        <v>18.434899999999999</v>
      </c>
      <c r="D234" s="4">
        <f>25.8377 * CHOOSE(CONTROL!$C$9, $C$13, 100%, $E$13) + CHOOSE(CONTROL!$C$28, 0, 0)</f>
        <v>25.837700000000002</v>
      </c>
      <c r="E234" s="4">
        <f>108.58794818742 * CHOOSE(CONTROL!$C$9, $C$13, 100%, $E$13) + CHOOSE(CONTROL!$C$28, 0, 0)</f>
        <v>108.58794818742</v>
      </c>
    </row>
    <row r="235" spans="1:5" ht="15">
      <c r="A235" s="13">
        <v>49004</v>
      </c>
      <c r="B235" s="4">
        <f>19.7748 * CHOOSE(CONTROL!$C$9, $C$13, 100%, $E$13) + CHOOSE(CONTROL!$C$28, 0.0003, 0)</f>
        <v>19.775099999999998</v>
      </c>
      <c r="C235" s="4">
        <f>19.4623 * CHOOSE(CONTROL!$C$9, $C$13, 100%, $E$13) + CHOOSE(CONTROL!$C$28, 0.0003, 0)</f>
        <v>19.462599999999998</v>
      </c>
      <c r="D235" s="4">
        <f>27.1161 * CHOOSE(CONTROL!$C$9, $C$13, 100%, $E$13) + CHOOSE(CONTROL!$C$28, 0, 0)</f>
        <v>27.116099999999999</v>
      </c>
      <c r="E235" s="4">
        <f>115.201680240922 * CHOOSE(CONTROL!$C$9, $C$13, 100%, $E$13) + CHOOSE(CONTROL!$C$28, 0, 0)</f>
        <v>115.201680240922</v>
      </c>
    </row>
    <row r="236" spans="1:5" ht="15">
      <c r="A236" s="13">
        <v>49035</v>
      </c>
      <c r="B236" s="4">
        <f>20.5049 * CHOOSE(CONTROL!$C$9, $C$13, 100%, $E$13) + CHOOSE(CONTROL!$C$28, 0.0003, 0)</f>
        <v>20.505199999999999</v>
      </c>
      <c r="C236" s="4">
        <f>20.1924 * CHOOSE(CONTROL!$C$9, $C$13, 100%, $E$13) + CHOOSE(CONTROL!$C$28, 0.0003, 0)</f>
        <v>20.192699999999999</v>
      </c>
      <c r="D236" s="4">
        <f>27.8525 * CHOOSE(CONTROL!$C$9, $C$13, 100%, $E$13) + CHOOSE(CONTROL!$C$28, 0, 0)</f>
        <v>27.852499999999999</v>
      </c>
      <c r="E236" s="4">
        <f>119.900825004504 * CHOOSE(CONTROL!$C$9, $C$13, 100%, $E$13) + CHOOSE(CONTROL!$C$28, 0, 0)</f>
        <v>119.900825004504</v>
      </c>
    </row>
    <row r="237" spans="1:5" ht="15">
      <c r="A237" s="13">
        <v>49065</v>
      </c>
      <c r="B237" s="4">
        <f>20.951 * CHOOSE(CONTROL!$C$9, $C$13, 100%, $E$13) + CHOOSE(CONTROL!$C$28, 0.0294, 0)</f>
        <v>20.980399999999999</v>
      </c>
      <c r="C237" s="4">
        <f>20.6385 * CHOOSE(CONTROL!$C$9, $C$13, 100%, $E$13) + CHOOSE(CONTROL!$C$28, 0.0294, 0)</f>
        <v>20.667899999999999</v>
      </c>
      <c r="D237" s="4">
        <f>27.5615 * CHOOSE(CONTROL!$C$9, $C$13, 100%, $E$13) + CHOOSE(CONTROL!$C$28, 0, 0)</f>
        <v>27.561499999999999</v>
      </c>
      <c r="E237" s="4">
        <f>122.771889832271 * CHOOSE(CONTROL!$C$9, $C$13, 100%, $E$13) + CHOOSE(CONTROL!$C$28, 0, 0)</f>
        <v>122.771889832271</v>
      </c>
    </row>
    <row r="238" spans="1:5" ht="15">
      <c r="A238" s="13">
        <v>49096</v>
      </c>
      <c r="B238" s="4">
        <f>21.0114 * CHOOSE(CONTROL!$C$9, $C$13, 100%, $E$13) + CHOOSE(CONTROL!$C$28, 0.0294, 0)</f>
        <v>21.040799999999997</v>
      </c>
      <c r="C238" s="4">
        <f>20.6989 * CHOOSE(CONTROL!$C$9, $C$13, 100%, $E$13) + CHOOSE(CONTROL!$C$28, 0.0294, 0)</f>
        <v>20.728299999999997</v>
      </c>
      <c r="D238" s="4">
        <f>27.7985 * CHOOSE(CONTROL!$C$9, $C$13, 100%, $E$13) + CHOOSE(CONTROL!$C$28, 0, 0)</f>
        <v>27.798500000000001</v>
      </c>
      <c r="E238" s="4">
        <f>123.160356818632 * CHOOSE(CONTROL!$C$9, $C$13, 100%, $E$13) + CHOOSE(CONTROL!$C$28, 0, 0)</f>
        <v>123.160356818632</v>
      </c>
    </row>
    <row r="239" spans="1:5" ht="15">
      <c r="A239" s="13">
        <v>49126</v>
      </c>
      <c r="B239" s="4">
        <f>21.0053 * CHOOSE(CONTROL!$C$9, $C$13, 100%, $E$13) + CHOOSE(CONTROL!$C$28, 0.0294, 0)</f>
        <v>21.034699999999997</v>
      </c>
      <c r="C239" s="4">
        <f>20.6928 * CHOOSE(CONTROL!$C$9, $C$13, 100%, $E$13) + CHOOSE(CONTROL!$C$28, 0.0294, 0)</f>
        <v>20.722199999999997</v>
      </c>
      <c r="D239" s="4">
        <f>28.2261 * CHOOSE(CONTROL!$C$9, $C$13, 100%, $E$13) + CHOOSE(CONTROL!$C$28, 0, 0)</f>
        <v>28.226099999999999</v>
      </c>
      <c r="E239" s="4">
        <f>123.12118367715 * CHOOSE(CONTROL!$C$9, $C$13, 100%, $E$13) + CHOOSE(CONTROL!$C$28, 0, 0)</f>
        <v>123.12118367715</v>
      </c>
    </row>
    <row r="240" spans="1:5" ht="15">
      <c r="A240" s="13">
        <v>49157</v>
      </c>
      <c r="B240" s="4">
        <f>21.4633 * CHOOSE(CONTROL!$C$9, $C$13, 100%, $E$13) + CHOOSE(CONTROL!$C$28, 0.0294, 0)</f>
        <v>21.492699999999999</v>
      </c>
      <c r="C240" s="4">
        <f>21.1508 * CHOOSE(CONTROL!$C$9, $C$13, 100%, $E$13) + CHOOSE(CONTROL!$C$28, 0.0294, 0)</f>
        <v>21.180199999999999</v>
      </c>
      <c r="D240" s="4">
        <f>27.9437 * CHOOSE(CONTROL!$C$9, $C$13, 100%, $E$13) + CHOOSE(CONTROL!$C$28, 0, 0)</f>
        <v>27.9437</v>
      </c>
      <c r="E240" s="4">
        <f>126.068962573652 * CHOOSE(CONTROL!$C$9, $C$13, 100%, $E$13) + CHOOSE(CONTROL!$C$28, 0, 0)</f>
        <v>126.068962573652</v>
      </c>
    </row>
    <row r="241" spans="1:5" ht="15">
      <c r="A241" s="13">
        <v>49188</v>
      </c>
      <c r="B241" s="4">
        <f>20.6827 * CHOOSE(CONTROL!$C$9, $C$13, 100%, $E$13) + CHOOSE(CONTROL!$C$28, 0.0294, 0)</f>
        <v>20.7121</v>
      </c>
      <c r="C241" s="4">
        <f>20.3702 * CHOOSE(CONTROL!$C$9, $C$13, 100%, $E$13) + CHOOSE(CONTROL!$C$28, 0.0294, 0)</f>
        <v>20.3996</v>
      </c>
      <c r="D241" s="4">
        <f>27.8103 * CHOOSE(CONTROL!$C$9, $C$13, 100%, $E$13) + CHOOSE(CONTROL!$C$28, 0, 0)</f>
        <v>27.810300000000002</v>
      </c>
      <c r="E241" s="4">
        <f>121.045007178617 * CHOOSE(CONTROL!$C$9, $C$13, 100%, $E$13) + CHOOSE(CONTROL!$C$28, 0, 0)</f>
        <v>121.045007178617</v>
      </c>
    </row>
    <row r="242" spans="1:5" ht="15">
      <c r="A242" s="13">
        <v>49218</v>
      </c>
      <c r="B242" s="4">
        <f>20.0578 * CHOOSE(CONTROL!$C$9, $C$13, 100%, $E$13) + CHOOSE(CONTROL!$C$28, 0.0003, 0)</f>
        <v>20.0581</v>
      </c>
      <c r="C242" s="4">
        <f>19.7453 * CHOOSE(CONTROL!$C$9, $C$13, 100%, $E$13) + CHOOSE(CONTROL!$C$28, 0.0003, 0)</f>
        <v>19.7456</v>
      </c>
      <c r="D242" s="4">
        <f>27.4531 * CHOOSE(CONTROL!$C$9, $C$13, 100%, $E$13) + CHOOSE(CONTROL!$C$28, 0, 0)</f>
        <v>27.453099999999999</v>
      </c>
      <c r="E242" s="4">
        <f>117.023231319824 * CHOOSE(CONTROL!$C$9, $C$13, 100%, $E$13) + CHOOSE(CONTROL!$C$28, 0, 0)</f>
        <v>117.02323131982401</v>
      </c>
    </row>
    <row r="243" spans="1:5" ht="15">
      <c r="A243" s="13">
        <v>49249</v>
      </c>
      <c r="B243" s="4">
        <f>19.6553 * CHOOSE(CONTROL!$C$9, $C$13, 100%, $E$13) + CHOOSE(CONTROL!$C$28, 0.0003, 0)</f>
        <v>19.6556</v>
      </c>
      <c r="C243" s="4">
        <f>19.3428 * CHOOSE(CONTROL!$C$9, $C$13, 100%, $E$13) + CHOOSE(CONTROL!$C$28, 0.0003, 0)</f>
        <v>19.3431</v>
      </c>
      <c r="D243" s="4">
        <f>27.3302 * CHOOSE(CONTROL!$C$9, $C$13, 100%, $E$13) + CHOOSE(CONTROL!$C$28, 0, 0)</f>
        <v>27.330200000000001</v>
      </c>
      <c r="E243" s="4">
        <f>114.432907339343 * CHOOSE(CONTROL!$C$9, $C$13, 100%, $E$13) + CHOOSE(CONTROL!$C$28, 0, 0)</f>
        <v>114.432907339343</v>
      </c>
    </row>
    <row r="244" spans="1:5" ht="15">
      <c r="A244" s="13">
        <v>49279</v>
      </c>
      <c r="B244" s="4">
        <f>19.3769 * CHOOSE(CONTROL!$C$9, $C$13, 100%, $E$13) + CHOOSE(CONTROL!$C$28, 0.0003, 0)</f>
        <v>19.377199999999998</v>
      </c>
      <c r="C244" s="4">
        <f>19.0644 * CHOOSE(CONTROL!$C$9, $C$13, 100%, $E$13) + CHOOSE(CONTROL!$C$28, 0.0003, 0)</f>
        <v>19.064699999999998</v>
      </c>
      <c r="D244" s="4">
        <f>26.426 * CHOOSE(CONTROL!$C$9, $C$13, 100%, $E$13) + CHOOSE(CONTROL!$C$28, 0, 0)</f>
        <v>26.425999999999998</v>
      </c>
      <c r="E244" s="4">
        <f>112.640736116553 * CHOOSE(CONTROL!$C$9, $C$13, 100%, $E$13) + CHOOSE(CONTROL!$C$28, 0, 0)</f>
        <v>112.640736116553</v>
      </c>
    </row>
    <row r="245" spans="1:5" ht="15">
      <c r="A245" s="13">
        <v>49310</v>
      </c>
      <c r="B245" s="4">
        <f>18.6841 * CHOOSE(CONTROL!$C$9, $C$13, 100%, $E$13) + CHOOSE(CONTROL!$C$28, 0.0003, 0)</f>
        <v>18.6844</v>
      </c>
      <c r="C245" s="4">
        <f>18.3716 * CHOOSE(CONTROL!$C$9, $C$13, 100%, $E$13) + CHOOSE(CONTROL!$C$28, 0.0003, 0)</f>
        <v>18.3719</v>
      </c>
      <c r="D245" s="4">
        <f>25.3948 * CHOOSE(CONTROL!$C$9, $C$13, 100%, $E$13) + CHOOSE(CONTROL!$C$28, 0, 0)</f>
        <v>25.3948</v>
      </c>
      <c r="E245" s="4">
        <f>108.150937200069 * CHOOSE(CONTROL!$C$9, $C$13, 100%, $E$13) + CHOOSE(CONTROL!$C$28, 0, 0)</f>
        <v>108.150937200069</v>
      </c>
    </row>
    <row r="246" spans="1:5" ht="15">
      <c r="A246" s="13">
        <v>49341</v>
      </c>
      <c r="B246" s="4">
        <f>19.0832 * CHOOSE(CONTROL!$C$9, $C$13, 100%, $E$13) + CHOOSE(CONTROL!$C$28, 0.0003, 0)</f>
        <v>19.083500000000001</v>
      </c>
      <c r="C246" s="4">
        <f>18.7707 * CHOOSE(CONTROL!$C$9, $C$13, 100%, $E$13) + CHOOSE(CONTROL!$C$28, 0.0003, 0)</f>
        <v>18.771000000000001</v>
      </c>
      <c r="D246" s="4">
        <f>26.2247 * CHOOSE(CONTROL!$C$9, $C$13, 100%, $E$13) + CHOOSE(CONTROL!$C$28, 0, 0)</f>
        <v>26.224699999999999</v>
      </c>
      <c r="E246" s="4">
        <f>110.718866662249 * CHOOSE(CONTROL!$C$9, $C$13, 100%, $E$13) + CHOOSE(CONTROL!$C$28, 0, 0)</f>
        <v>110.718866662249</v>
      </c>
    </row>
    <row r="247" spans="1:5" ht="15">
      <c r="A247" s="13">
        <v>49369</v>
      </c>
      <c r="B247" s="4">
        <f>20.1313 * CHOOSE(CONTROL!$C$9, $C$13, 100%, $E$13) + CHOOSE(CONTROL!$C$28, 0.0003, 0)</f>
        <v>20.131599999999999</v>
      </c>
      <c r="C247" s="4">
        <f>19.8188 * CHOOSE(CONTROL!$C$9, $C$13, 100%, $E$13) + CHOOSE(CONTROL!$C$28, 0.0003, 0)</f>
        <v>19.819099999999999</v>
      </c>
      <c r="D247" s="4">
        <f>27.5237 * CHOOSE(CONTROL!$C$9, $C$13, 100%, $E$13) + CHOOSE(CONTROL!$C$28, 0, 0)</f>
        <v>27.523700000000002</v>
      </c>
      <c r="E247" s="4">
        <f>117.46238589799 * CHOOSE(CONTROL!$C$9, $C$13, 100%, $E$13) + CHOOSE(CONTROL!$C$28, 0, 0)</f>
        <v>117.46238589799</v>
      </c>
    </row>
    <row r="248" spans="1:5" ht="15">
      <c r="A248" s="13">
        <v>49400</v>
      </c>
      <c r="B248" s="4">
        <f>20.876 * CHOOSE(CONTROL!$C$9, $C$13, 100%, $E$13) + CHOOSE(CONTROL!$C$28, 0.0003, 0)</f>
        <v>20.876300000000001</v>
      </c>
      <c r="C248" s="4">
        <f>20.5635 * CHOOSE(CONTROL!$C$9, $C$13, 100%, $E$13) + CHOOSE(CONTROL!$C$28, 0.0003, 0)</f>
        <v>20.563800000000001</v>
      </c>
      <c r="D248" s="4">
        <f>28.272 * CHOOSE(CONTROL!$C$9, $C$13, 100%, $E$13) + CHOOSE(CONTROL!$C$28, 0, 0)</f>
        <v>28.271999999999998</v>
      </c>
      <c r="E248" s="4">
        <f>122.253746184195 * CHOOSE(CONTROL!$C$9, $C$13, 100%, $E$13) + CHOOSE(CONTROL!$C$28, 0, 0)</f>
        <v>122.25374618419499</v>
      </c>
    </row>
    <row r="249" spans="1:5" ht="15">
      <c r="A249" s="13">
        <v>49430</v>
      </c>
      <c r="B249" s="4">
        <f>21.3309 * CHOOSE(CONTROL!$C$9, $C$13, 100%, $E$13) + CHOOSE(CONTROL!$C$28, 0.0294, 0)</f>
        <v>21.360299999999999</v>
      </c>
      <c r="C249" s="4">
        <f>21.0184 * CHOOSE(CONTROL!$C$9, $C$13, 100%, $E$13) + CHOOSE(CONTROL!$C$28, 0.0294, 0)</f>
        <v>21.047799999999999</v>
      </c>
      <c r="D249" s="4">
        <f>27.9763 * CHOOSE(CONTROL!$C$9, $C$13, 100%, $E$13) + CHOOSE(CONTROL!$C$28, 0, 0)</f>
        <v>27.976299999999998</v>
      </c>
      <c r="E249" s="4">
        <f>125.181152486186 * CHOOSE(CONTROL!$C$9, $C$13, 100%, $E$13) + CHOOSE(CONTROL!$C$28, 0, 0)</f>
        <v>125.18115248618599</v>
      </c>
    </row>
    <row r="250" spans="1:5" ht="15">
      <c r="A250" s="14">
        <v>49461</v>
      </c>
      <c r="B250" s="4">
        <f>21.3925 * CHOOSE(CONTROL!$C$9, $C$13, 100%, $E$13) + CHOOSE(CONTROL!$C$28, 0.0294, 0)</f>
        <v>21.421899999999997</v>
      </c>
      <c r="C250" s="4">
        <f>21.08 * CHOOSE(CONTROL!$C$9, $C$13, 100%, $E$13) + CHOOSE(CONTROL!$C$28, 0.0294, 0)</f>
        <v>21.109399999999997</v>
      </c>
      <c r="D250" s="4">
        <f>28.2171 * CHOOSE(CONTROL!$C$9, $C$13, 100%, $E$13) + CHOOSE(CONTROL!$C$28, 0, 0)</f>
        <v>28.217099999999999</v>
      </c>
      <c r="E250" s="4">
        <f>125.577242707832 * CHOOSE(CONTROL!$C$9, $C$13, 100%, $E$13) + CHOOSE(CONTROL!$C$28, 0, 0)</f>
        <v>125.577242707832</v>
      </c>
    </row>
    <row r="251" spans="1:5" ht="15">
      <c r="A251" s="14">
        <v>49491</v>
      </c>
      <c r="B251" s="4">
        <f>21.3863 * CHOOSE(CONTROL!$C$9, $C$13, 100%, $E$13) + CHOOSE(CONTROL!$C$28, 0.0294, 0)</f>
        <v>21.415699999999998</v>
      </c>
      <c r="C251" s="4">
        <f>21.0738 * CHOOSE(CONTROL!$C$9, $C$13, 100%, $E$13) + CHOOSE(CONTROL!$C$28, 0.0294, 0)</f>
        <v>21.103199999999998</v>
      </c>
      <c r="D251" s="4">
        <f>28.6516 * CHOOSE(CONTROL!$C$9, $C$13, 100%, $E$13) + CHOOSE(CONTROL!$C$28, 0, 0)</f>
        <v>28.651599999999998</v>
      </c>
      <c r="E251" s="4">
        <f>125.537300836741 * CHOOSE(CONTROL!$C$9, $C$13, 100%, $E$13) + CHOOSE(CONTROL!$C$28, 0, 0)</f>
        <v>125.537300836741</v>
      </c>
    </row>
    <row r="252" spans="1:5" ht="15">
      <c r="A252" s="14">
        <v>49522</v>
      </c>
      <c r="B252" s="4">
        <f>21.8534 * CHOOSE(CONTROL!$C$9, $C$13, 100%, $E$13) + CHOOSE(CONTROL!$C$28, 0.0294, 0)</f>
        <v>21.8828</v>
      </c>
      <c r="C252" s="4">
        <f>21.5409 * CHOOSE(CONTROL!$C$9, $C$13, 100%, $E$13) + CHOOSE(CONTROL!$C$28, 0.0294, 0)</f>
        <v>21.5703</v>
      </c>
      <c r="D252" s="4">
        <f>28.3647 * CHOOSE(CONTROL!$C$9, $C$13, 100%, $E$13) + CHOOSE(CONTROL!$C$28, 0, 0)</f>
        <v>28.364699999999999</v>
      </c>
      <c r="E252" s="4">
        <f>128.542926636285 * CHOOSE(CONTROL!$C$9, $C$13, 100%, $E$13) + CHOOSE(CONTROL!$C$28, 0, 0)</f>
        <v>128.54292663628499</v>
      </c>
    </row>
    <row r="253" spans="1:5" ht="15">
      <c r="A253" s="14">
        <v>49553</v>
      </c>
      <c r="B253" s="4">
        <f>21.0573 * CHOOSE(CONTROL!$C$9, $C$13, 100%, $E$13) + CHOOSE(CONTROL!$C$28, 0.0294, 0)</f>
        <v>21.0867</v>
      </c>
      <c r="C253" s="4">
        <f>20.7448 * CHOOSE(CONTROL!$C$9, $C$13, 100%, $E$13) + CHOOSE(CONTROL!$C$28, 0.0294, 0)</f>
        <v>20.7742</v>
      </c>
      <c r="D253" s="4">
        <f>28.2291 * CHOOSE(CONTROL!$C$9, $C$13, 100%, $E$13) + CHOOSE(CONTROL!$C$28, 0, 0)</f>
        <v>28.229099999999999</v>
      </c>
      <c r="E253" s="4">
        <f>123.420381668957 * CHOOSE(CONTROL!$C$9, $C$13, 100%, $E$13) + CHOOSE(CONTROL!$C$28, 0, 0)</f>
        <v>123.42038166895701</v>
      </c>
    </row>
    <row r="254" spans="1:5" ht="15">
      <c r="A254" s="14">
        <v>49583</v>
      </c>
      <c r="B254" s="4">
        <f>20.4199 * CHOOSE(CONTROL!$C$9, $C$13, 100%, $E$13) + CHOOSE(CONTROL!$C$28, 0.0003, 0)</f>
        <v>20.420199999999998</v>
      </c>
      <c r="C254" s="4">
        <f>20.1074 * CHOOSE(CONTROL!$C$9, $C$13, 100%, $E$13) + CHOOSE(CONTROL!$C$28, 0.0003, 0)</f>
        <v>20.107699999999998</v>
      </c>
      <c r="D254" s="4">
        <f>27.8661 * CHOOSE(CONTROL!$C$9, $C$13, 100%, $E$13) + CHOOSE(CONTROL!$C$28, 0, 0)</f>
        <v>27.866099999999999</v>
      </c>
      <c r="E254" s="4">
        <f>119.319682903688 * CHOOSE(CONTROL!$C$9, $C$13, 100%, $E$13) + CHOOSE(CONTROL!$C$28, 0, 0)</f>
        <v>119.319682903688</v>
      </c>
    </row>
    <row r="255" spans="1:5" ht="15">
      <c r="A255" s="14">
        <v>49614</v>
      </c>
      <c r="B255" s="4">
        <f>20.0094 * CHOOSE(CONTROL!$C$9, $C$13, 100%, $E$13) + CHOOSE(CONTROL!$C$28, 0.0003, 0)</f>
        <v>20.009699999999999</v>
      </c>
      <c r="C255" s="4">
        <f>19.6969 * CHOOSE(CONTROL!$C$9, $C$13, 100%, $E$13) + CHOOSE(CONTROL!$C$28, 0.0003, 0)</f>
        <v>19.697199999999999</v>
      </c>
      <c r="D255" s="4">
        <f>27.7413 * CHOOSE(CONTROL!$C$9, $C$13, 100%, $E$13) + CHOOSE(CONTROL!$C$28, 0, 0)</f>
        <v>27.741299999999999</v>
      </c>
      <c r="E255" s="4">
        <f>116.678526677844 * CHOOSE(CONTROL!$C$9, $C$13, 100%, $E$13) + CHOOSE(CONTROL!$C$28, 0, 0)</f>
        <v>116.678526677844</v>
      </c>
    </row>
    <row r="256" spans="1:5" ht="15">
      <c r="A256" s="14">
        <v>49644</v>
      </c>
      <c r="B256" s="4">
        <f>19.7254 * CHOOSE(CONTROL!$C$9, $C$13, 100%, $E$13) + CHOOSE(CONTROL!$C$28, 0.0003, 0)</f>
        <v>19.7257</v>
      </c>
      <c r="C256" s="4">
        <f>19.4129 * CHOOSE(CONTROL!$C$9, $C$13, 100%, $E$13) + CHOOSE(CONTROL!$C$28, 0.0003, 0)</f>
        <v>19.4132</v>
      </c>
      <c r="D256" s="4">
        <f>26.8224 * CHOOSE(CONTROL!$C$9, $C$13, 100%, $E$13) + CHOOSE(CONTROL!$C$28, 0, 0)</f>
        <v>26.822399999999998</v>
      </c>
      <c r="E256" s="4">
        <f>114.851186075464 * CHOOSE(CONTROL!$C$9, $C$13, 100%, $E$13) + CHOOSE(CONTROL!$C$28, 0, 0)</f>
        <v>114.851186075464</v>
      </c>
    </row>
    <row r="257" spans="1:5" ht="15">
      <c r="A257" s="14">
        <v>49675</v>
      </c>
      <c r="B257" s="4">
        <f>19.264 * CHOOSE(CONTROL!$C$9, $C$13, 100%, $E$13) + CHOOSE(CONTROL!$C$28, 0.0003, 0)</f>
        <v>19.264299999999999</v>
      </c>
      <c r="C257" s="4">
        <f>18.9515 * CHOOSE(CONTROL!$C$9, $C$13, 100%, $E$13) + CHOOSE(CONTROL!$C$28, 0.0003, 0)</f>
        <v>18.951799999999999</v>
      </c>
      <c r="D257" s="4">
        <f>25.9779 * CHOOSE(CONTROL!$C$9, $C$13, 100%, $E$13) + CHOOSE(CONTROL!$C$28, 0, 0)</f>
        <v>25.977900000000002</v>
      </c>
      <c r="E257" s="4">
        <f>111.557691721872 * CHOOSE(CONTROL!$C$9, $C$13, 100%, $E$13) + CHOOSE(CONTROL!$C$28, 0, 0)</f>
        <v>111.557691721872</v>
      </c>
    </row>
    <row r="258" spans="1:5" ht="15">
      <c r="A258" s="14">
        <v>49706</v>
      </c>
      <c r="B258" s="4">
        <f>19.6769 * CHOOSE(CONTROL!$C$9, $C$13, 100%, $E$13) + CHOOSE(CONTROL!$C$28, 0.0003, 0)</f>
        <v>19.677199999999999</v>
      </c>
      <c r="C258" s="4">
        <f>19.3644 * CHOOSE(CONTROL!$C$9, $C$13, 100%, $E$13) + CHOOSE(CONTROL!$C$28, 0.0003, 0)</f>
        <v>19.364699999999999</v>
      </c>
      <c r="D258" s="4">
        <f>26.8283 * CHOOSE(CONTROL!$C$9, $C$13, 100%, $E$13) + CHOOSE(CONTROL!$C$28, 0, 0)</f>
        <v>26.828299999999999</v>
      </c>
      <c r="E258" s="4">
        <f>114.206510962109 * CHOOSE(CONTROL!$C$9, $C$13, 100%, $E$13) + CHOOSE(CONTROL!$C$28, 0, 0)</f>
        <v>114.20651096210899</v>
      </c>
    </row>
    <row r="259" spans="1:5" ht="15">
      <c r="A259" s="14">
        <v>49735</v>
      </c>
      <c r="B259" s="4">
        <f>20.7611 * CHOOSE(CONTROL!$C$9, $C$13, 100%, $E$13) + CHOOSE(CONTROL!$C$28, 0.0003, 0)</f>
        <v>20.761399999999998</v>
      </c>
      <c r="C259" s="4">
        <f>20.4486 * CHOOSE(CONTROL!$C$9, $C$13, 100%, $E$13) + CHOOSE(CONTROL!$C$28, 0.0003, 0)</f>
        <v>20.448899999999998</v>
      </c>
      <c r="D259" s="4">
        <f>28.1596 * CHOOSE(CONTROL!$C$9, $C$13, 100%, $E$13) + CHOOSE(CONTROL!$C$28, 0, 0)</f>
        <v>28.159600000000001</v>
      </c>
      <c r="E259" s="4">
        <f>121.162451053777 * CHOOSE(CONTROL!$C$9, $C$13, 100%, $E$13) + CHOOSE(CONTROL!$C$28, 0, 0)</f>
        <v>121.162451053777</v>
      </c>
    </row>
    <row r="260" spans="1:5" ht="15">
      <c r="A260" s="14">
        <v>49766</v>
      </c>
      <c r="B260" s="4">
        <f>21.5315 * CHOOSE(CONTROL!$C$9, $C$13, 100%, $E$13) + CHOOSE(CONTROL!$C$28, 0.0003, 0)</f>
        <v>21.5318</v>
      </c>
      <c r="C260" s="4">
        <f>21.219 * CHOOSE(CONTROL!$C$9, $C$13, 100%, $E$13) + CHOOSE(CONTROL!$C$28, 0.0003, 0)</f>
        <v>21.2193</v>
      </c>
      <c r="D260" s="4">
        <f>28.9264 * CHOOSE(CONTROL!$C$9, $C$13, 100%, $E$13) + CHOOSE(CONTROL!$C$28, 0, 0)</f>
        <v>28.926400000000001</v>
      </c>
      <c r="E260" s="4">
        <f>126.104739188997 * CHOOSE(CONTROL!$C$9, $C$13, 100%, $E$13) + CHOOSE(CONTROL!$C$28, 0, 0)</f>
        <v>126.104739188997</v>
      </c>
    </row>
    <row r="261" spans="1:5" ht="15">
      <c r="A261" s="14">
        <v>49796</v>
      </c>
      <c r="B261" s="4">
        <f>22.0022 * CHOOSE(CONTROL!$C$9, $C$13, 100%, $E$13) + CHOOSE(CONTROL!$C$28, 0.0294, 0)</f>
        <v>22.031599999999997</v>
      </c>
      <c r="C261" s="4">
        <f>21.6897 * CHOOSE(CONTROL!$C$9, $C$13, 100%, $E$13) + CHOOSE(CONTROL!$C$28, 0.0294, 0)</f>
        <v>21.719099999999997</v>
      </c>
      <c r="D261" s="4">
        <f>28.6234 * CHOOSE(CONTROL!$C$9, $C$13, 100%, $E$13) + CHOOSE(CONTROL!$C$28, 0, 0)</f>
        <v>28.6234</v>
      </c>
      <c r="E261" s="4">
        <f>129.124358789501 * CHOOSE(CONTROL!$C$9, $C$13, 100%, $E$13) + CHOOSE(CONTROL!$C$28, 0, 0)</f>
        <v>129.124358789501</v>
      </c>
    </row>
    <row r="262" spans="1:5" ht="15">
      <c r="A262" s="14">
        <v>49827</v>
      </c>
      <c r="B262" s="4">
        <f>22.0659 * CHOOSE(CONTROL!$C$9, $C$13, 100%, $E$13) + CHOOSE(CONTROL!$C$28, 0.0294, 0)</f>
        <v>22.095299999999998</v>
      </c>
      <c r="C262" s="4">
        <f>21.7534 * CHOOSE(CONTROL!$C$9, $C$13, 100%, $E$13) + CHOOSE(CONTROL!$C$28, 0.0294, 0)</f>
        <v>21.782799999999998</v>
      </c>
      <c r="D262" s="4">
        <f>28.8702 * CHOOSE(CONTROL!$C$9, $C$13, 100%, $E$13) + CHOOSE(CONTROL!$C$28, 0, 0)</f>
        <v>28.870200000000001</v>
      </c>
      <c r="E262" s="4">
        <f>129.532925853128 * CHOOSE(CONTROL!$C$9, $C$13, 100%, $E$13) + CHOOSE(CONTROL!$C$28, 0, 0)</f>
        <v>129.53292585312801</v>
      </c>
    </row>
    <row r="263" spans="1:5" ht="15">
      <c r="A263" s="14">
        <v>49857</v>
      </c>
      <c r="B263" s="4">
        <f>22.0594 * CHOOSE(CONTROL!$C$9, $C$13, 100%, $E$13) + CHOOSE(CONTROL!$C$28, 0.0294, 0)</f>
        <v>22.088799999999999</v>
      </c>
      <c r="C263" s="4">
        <f>21.7469 * CHOOSE(CONTROL!$C$9, $C$13, 100%, $E$13) + CHOOSE(CONTROL!$C$28, 0.0294, 0)</f>
        <v>21.776299999999999</v>
      </c>
      <c r="D263" s="4">
        <f>29.3155 * CHOOSE(CONTROL!$C$9, $C$13, 100%, $E$13) + CHOOSE(CONTROL!$C$28, 0, 0)</f>
        <v>29.3155</v>
      </c>
      <c r="E263" s="4">
        <f>129.491725813099 * CHOOSE(CONTROL!$C$9, $C$13, 100%, $E$13) + CHOOSE(CONTROL!$C$28, 0, 0)</f>
        <v>129.49172581309901</v>
      </c>
    </row>
    <row r="264" spans="1:5" ht="15">
      <c r="A264" s="14">
        <v>49888</v>
      </c>
      <c r="B264" s="4">
        <f>22.5427 * CHOOSE(CONTROL!$C$9, $C$13, 100%, $E$13) + CHOOSE(CONTROL!$C$28, 0.0294, 0)</f>
        <v>22.572099999999999</v>
      </c>
      <c r="C264" s="4">
        <f>22.2302 * CHOOSE(CONTROL!$C$9, $C$13, 100%, $E$13) + CHOOSE(CONTROL!$C$28, 0.0294, 0)</f>
        <v>22.259599999999999</v>
      </c>
      <c r="D264" s="4">
        <f>29.0214 * CHOOSE(CONTROL!$C$9, $C$13, 100%, $E$13) + CHOOSE(CONTROL!$C$28, 0, 0)</f>
        <v>29.0214</v>
      </c>
      <c r="E264" s="4">
        <f>132.592028825328 * CHOOSE(CONTROL!$C$9, $C$13, 100%, $E$13) + CHOOSE(CONTROL!$C$28, 0, 0)</f>
        <v>132.59202882532799</v>
      </c>
    </row>
    <row r="265" spans="1:5" ht="15">
      <c r="A265" s="14">
        <v>49919</v>
      </c>
      <c r="B265" s="4">
        <f>21.7191 * CHOOSE(CONTROL!$C$9, $C$13, 100%, $E$13) + CHOOSE(CONTROL!$C$28, 0.0294, 0)</f>
        <v>21.7485</v>
      </c>
      <c r="C265" s="4">
        <f>21.4066 * CHOOSE(CONTROL!$C$9, $C$13, 100%, $E$13) + CHOOSE(CONTROL!$C$28, 0.0294, 0)</f>
        <v>21.436</v>
      </c>
      <c r="D265" s="4">
        <f>28.8825 * CHOOSE(CONTROL!$C$9, $C$13, 100%, $E$13) + CHOOSE(CONTROL!$C$28, 0, 0)</f>
        <v>28.8825</v>
      </c>
      <c r="E265" s="4">
        <f>127.308123691529 * CHOOSE(CONTROL!$C$9, $C$13, 100%, $E$13) + CHOOSE(CONTROL!$C$28, 0, 0)</f>
        <v>127.308123691529</v>
      </c>
    </row>
    <row r="266" spans="1:5" ht="15">
      <c r="A266" s="14">
        <v>49949</v>
      </c>
      <c r="B266" s="4">
        <f>21.0597 * CHOOSE(CONTROL!$C$9, $C$13, 100%, $E$13) + CHOOSE(CONTROL!$C$28, 0.0003, 0)</f>
        <v>21.06</v>
      </c>
      <c r="C266" s="4">
        <f>20.7472 * CHOOSE(CONTROL!$C$9, $C$13, 100%, $E$13) + CHOOSE(CONTROL!$C$28, 0.0003, 0)</f>
        <v>20.747499999999999</v>
      </c>
      <c r="D266" s="4">
        <f>28.5105 * CHOOSE(CONTROL!$C$9, $C$13, 100%, $E$13) + CHOOSE(CONTROL!$C$28, 0, 0)</f>
        <v>28.5105</v>
      </c>
      <c r="E266" s="4">
        <f>123.078252915154 * CHOOSE(CONTROL!$C$9, $C$13, 100%, $E$13) + CHOOSE(CONTROL!$C$28, 0, 0)</f>
        <v>123.078252915154</v>
      </c>
    </row>
    <row r="267" spans="1:5" ht="15">
      <c r="A267" s="14">
        <v>49980</v>
      </c>
      <c r="B267" s="4">
        <f>20.6351 * CHOOSE(CONTROL!$C$9, $C$13, 100%, $E$13) + CHOOSE(CONTROL!$C$28, 0.0003, 0)</f>
        <v>20.635400000000001</v>
      </c>
      <c r="C267" s="4">
        <f>20.3226 * CHOOSE(CONTROL!$C$9, $C$13, 100%, $E$13) + CHOOSE(CONTROL!$C$28, 0.0003, 0)</f>
        <v>20.322900000000001</v>
      </c>
      <c r="D267" s="4">
        <f>28.3826 * CHOOSE(CONTROL!$C$9, $C$13, 100%, $E$13) + CHOOSE(CONTROL!$C$28, 0, 0)</f>
        <v>28.3826</v>
      </c>
      <c r="E267" s="4">
        <f>120.353900268196 * CHOOSE(CONTROL!$C$9, $C$13, 100%, $E$13) + CHOOSE(CONTROL!$C$28, 0, 0)</f>
        <v>120.353900268196</v>
      </c>
    </row>
    <row r="268" spans="1:5" ht="15">
      <c r="A268" s="14">
        <v>50010</v>
      </c>
      <c r="B268" s="4">
        <f>20.3413 * CHOOSE(CONTROL!$C$9, $C$13, 100%, $E$13) + CHOOSE(CONTROL!$C$28, 0.0003, 0)</f>
        <v>20.3416</v>
      </c>
      <c r="C268" s="4">
        <f>20.0288 * CHOOSE(CONTROL!$C$9, $C$13, 100%, $E$13) + CHOOSE(CONTROL!$C$28, 0.0003, 0)</f>
        <v>20.0291</v>
      </c>
      <c r="D268" s="4">
        <f>27.4409 * CHOOSE(CONTROL!$C$9, $C$13, 100%, $E$13) + CHOOSE(CONTROL!$C$28, 0, 0)</f>
        <v>27.440899999999999</v>
      </c>
      <c r="E268" s="4">
        <f>118.468998436841 * CHOOSE(CONTROL!$C$9, $C$13, 100%, $E$13) + CHOOSE(CONTROL!$C$28, 0, 0)</f>
        <v>118.46899843684101</v>
      </c>
    </row>
    <row r="269" spans="1:5" ht="15">
      <c r="A269" s="14">
        <v>50041</v>
      </c>
      <c r="B269" s="4">
        <f>19.8639 * CHOOSE(CONTROL!$C$9, $C$13, 100%, $E$13) + CHOOSE(CONTROL!$C$28, 0.0003, 0)</f>
        <v>19.8642</v>
      </c>
      <c r="C269" s="4">
        <f>19.5514 * CHOOSE(CONTROL!$C$9, $C$13, 100%, $E$13) + CHOOSE(CONTROL!$C$28, 0.0003, 0)</f>
        <v>19.5517</v>
      </c>
      <c r="D269" s="4">
        <f>26.5755 * CHOOSE(CONTROL!$C$9, $C$13, 100%, $E$13) + CHOOSE(CONTROL!$C$28, 0, 0)</f>
        <v>26.575500000000002</v>
      </c>
      <c r="E269" s="4">
        <f>115.071759011111 * CHOOSE(CONTROL!$C$9, $C$13, 100%, $E$13) + CHOOSE(CONTROL!$C$28, 0, 0)</f>
        <v>115.071759011111</v>
      </c>
    </row>
    <row r="270" spans="1:5" ht="15">
      <c r="A270" s="14">
        <v>50072</v>
      </c>
      <c r="B270" s="4">
        <f>20.291 * CHOOSE(CONTROL!$C$9, $C$13, 100%, $E$13) + CHOOSE(CONTROL!$C$28, 0.0003, 0)</f>
        <v>20.2913</v>
      </c>
      <c r="C270" s="4">
        <f>19.9785 * CHOOSE(CONTROL!$C$9, $C$13, 100%, $E$13) + CHOOSE(CONTROL!$C$28, 0.0003, 0)</f>
        <v>19.9788</v>
      </c>
      <c r="D270" s="4">
        <f>27.447 * CHOOSE(CONTROL!$C$9, $C$13, 100%, $E$13) + CHOOSE(CONTROL!$C$28, 0, 0)</f>
        <v>27.446999999999999</v>
      </c>
      <c r="E270" s="4">
        <f>117.804016057416 * CHOOSE(CONTROL!$C$9, $C$13, 100%, $E$13) + CHOOSE(CONTROL!$C$28, 0, 0)</f>
        <v>117.80401605741601</v>
      </c>
    </row>
    <row r="271" spans="1:5" ht="15">
      <c r="A271" s="14">
        <v>50100</v>
      </c>
      <c r="B271" s="4">
        <f>21.4127 * CHOOSE(CONTROL!$C$9, $C$13, 100%, $E$13) + CHOOSE(CONTROL!$C$28, 0.0003, 0)</f>
        <v>21.413</v>
      </c>
      <c r="C271" s="4">
        <f>21.1002 * CHOOSE(CONTROL!$C$9, $C$13, 100%, $E$13) + CHOOSE(CONTROL!$C$28, 0.0003, 0)</f>
        <v>21.1005</v>
      </c>
      <c r="D271" s="4">
        <f>28.8113 * CHOOSE(CONTROL!$C$9, $C$13, 100%, $E$13) + CHOOSE(CONTROL!$C$28, 0, 0)</f>
        <v>28.811299999999999</v>
      </c>
      <c r="E271" s="4">
        <f>124.979068261971 * CHOOSE(CONTROL!$C$9, $C$13, 100%, $E$13) + CHOOSE(CONTROL!$C$28, 0, 0)</f>
        <v>124.97906826197099</v>
      </c>
    </row>
    <row r="272" spans="1:5" ht="15">
      <c r="A272" s="14">
        <v>50131</v>
      </c>
      <c r="B272" s="4">
        <f>22.2096 * CHOOSE(CONTROL!$C$9, $C$13, 100%, $E$13) + CHOOSE(CONTROL!$C$28, 0.0003, 0)</f>
        <v>22.209899999999998</v>
      </c>
      <c r="C272" s="4">
        <f>21.8971 * CHOOSE(CONTROL!$C$9, $C$13, 100%, $E$13) + CHOOSE(CONTROL!$C$28, 0.0003, 0)</f>
        <v>21.897399999999998</v>
      </c>
      <c r="D272" s="4">
        <f>29.5971 * CHOOSE(CONTROL!$C$9, $C$13, 100%, $E$13) + CHOOSE(CONTROL!$C$28, 0, 0)</f>
        <v>29.597100000000001</v>
      </c>
      <c r="E272" s="4">
        <f>130.07703847345 * CHOOSE(CONTROL!$C$9, $C$13, 100%, $E$13) + CHOOSE(CONTROL!$C$28, 0, 0)</f>
        <v>130.07703847344999</v>
      </c>
    </row>
    <row r="273" spans="1:5" ht="15">
      <c r="A273" s="14">
        <v>50161</v>
      </c>
      <c r="B273" s="4">
        <f>22.6966 * CHOOSE(CONTROL!$C$9, $C$13, 100%, $E$13) + CHOOSE(CONTROL!$C$28, 0.0294, 0)</f>
        <v>22.725999999999999</v>
      </c>
      <c r="C273" s="4">
        <f>22.3841 * CHOOSE(CONTROL!$C$9, $C$13, 100%, $E$13) + CHOOSE(CONTROL!$C$28, 0.0294, 0)</f>
        <v>22.413499999999999</v>
      </c>
      <c r="D273" s="4">
        <f>29.2866 * CHOOSE(CONTROL!$C$9, $C$13, 100%, $E$13) + CHOOSE(CONTROL!$C$28, 0, 0)</f>
        <v>29.2866</v>
      </c>
      <c r="E273" s="4">
        <f>133.191776091371 * CHOOSE(CONTROL!$C$9, $C$13, 100%, $E$13) + CHOOSE(CONTROL!$C$28, 0, 0)</f>
        <v>133.191776091371</v>
      </c>
    </row>
    <row r="274" spans="1:5" ht="15">
      <c r="A274" s="14">
        <v>50192</v>
      </c>
      <c r="B274" s="4">
        <f>22.7624 * CHOOSE(CONTROL!$C$9, $C$13, 100%, $E$13) + CHOOSE(CONTROL!$C$28, 0.0294, 0)</f>
        <v>22.791799999999999</v>
      </c>
      <c r="C274" s="4">
        <f>22.4499 * CHOOSE(CONTROL!$C$9, $C$13, 100%, $E$13) + CHOOSE(CONTROL!$C$28, 0.0294, 0)</f>
        <v>22.479299999999999</v>
      </c>
      <c r="D274" s="4">
        <f>29.5395 * CHOOSE(CONTROL!$C$9, $C$13, 100%, $E$13) + CHOOSE(CONTROL!$C$28, 0, 0)</f>
        <v>29.5395</v>
      </c>
      <c r="E274" s="4">
        <f>133.613213017502 * CHOOSE(CONTROL!$C$9, $C$13, 100%, $E$13) + CHOOSE(CONTROL!$C$28, 0, 0)</f>
        <v>133.61321301750201</v>
      </c>
    </row>
    <row r="275" spans="1:5" ht="15">
      <c r="A275" s="14">
        <v>50222</v>
      </c>
      <c r="B275" s="4">
        <f>22.7558 * CHOOSE(CONTROL!$C$9, $C$13, 100%, $E$13) + CHOOSE(CONTROL!$C$28, 0.0294, 0)</f>
        <v>22.7852</v>
      </c>
      <c r="C275" s="4">
        <f>22.4433 * CHOOSE(CONTROL!$C$9, $C$13, 100%, $E$13) + CHOOSE(CONTROL!$C$28, 0.0294, 0)</f>
        <v>22.4727</v>
      </c>
      <c r="D275" s="4">
        <f>29.9958 * CHOOSE(CONTROL!$C$9, $C$13, 100%, $E$13) + CHOOSE(CONTROL!$C$28, 0, 0)</f>
        <v>29.995799999999999</v>
      </c>
      <c r="E275" s="4">
        <f>133.570715176211 * CHOOSE(CONTROL!$C$9, $C$13, 100%, $E$13) + CHOOSE(CONTROL!$C$28, 0, 0)</f>
        <v>133.570715176211</v>
      </c>
    </row>
    <row r="276" spans="1:5" ht="15">
      <c r="A276" s="14">
        <v>50253</v>
      </c>
      <c r="B276" s="4">
        <f>23.2557 * CHOOSE(CONTROL!$C$9, $C$13, 100%, $E$13) + CHOOSE(CONTROL!$C$28, 0.0294, 0)</f>
        <v>23.2851</v>
      </c>
      <c r="C276" s="4">
        <f>22.9432 * CHOOSE(CONTROL!$C$9, $C$13, 100%, $E$13) + CHOOSE(CONTROL!$C$28, 0.0294, 0)</f>
        <v>22.9726</v>
      </c>
      <c r="D276" s="4">
        <f>29.6945 * CHOOSE(CONTROL!$C$9, $C$13, 100%, $E$13) + CHOOSE(CONTROL!$C$28, 0, 0)</f>
        <v>29.694500000000001</v>
      </c>
      <c r="E276" s="4">
        <f>136.768677733326 * CHOOSE(CONTROL!$C$9, $C$13, 100%, $E$13) + CHOOSE(CONTROL!$C$28, 0, 0)</f>
        <v>136.768677733326</v>
      </c>
    </row>
    <row r="277" spans="1:5" ht="15">
      <c r="A277" s="14">
        <v>50284</v>
      </c>
      <c r="B277" s="4">
        <f>22.4037 * CHOOSE(CONTROL!$C$9, $C$13, 100%, $E$13) + CHOOSE(CONTROL!$C$28, 0.0294, 0)</f>
        <v>22.4331</v>
      </c>
      <c r="C277" s="4">
        <f>22.0912 * CHOOSE(CONTROL!$C$9, $C$13, 100%, $E$13) + CHOOSE(CONTROL!$C$28, 0.0294, 0)</f>
        <v>22.1206</v>
      </c>
      <c r="D277" s="4">
        <f>29.5521 * CHOOSE(CONTROL!$C$9, $C$13, 100%, $E$13) + CHOOSE(CONTROL!$C$28, 0, 0)</f>
        <v>29.552099999999999</v>
      </c>
      <c r="E277" s="4">
        <f>131.318329587812 * CHOOSE(CONTROL!$C$9, $C$13, 100%, $E$13) + CHOOSE(CONTROL!$C$28, 0, 0)</f>
        <v>131.318329587812</v>
      </c>
    </row>
    <row r="278" spans="1:5" ht="15">
      <c r="A278" s="14">
        <v>50314</v>
      </c>
      <c r="B278" s="4">
        <f>21.7216 * CHOOSE(CONTROL!$C$9, $C$13, 100%, $E$13) + CHOOSE(CONTROL!$C$28, 0.0003, 0)</f>
        <v>21.721899999999998</v>
      </c>
      <c r="C278" s="4">
        <f>21.4091 * CHOOSE(CONTROL!$C$9, $C$13, 100%, $E$13) + CHOOSE(CONTROL!$C$28, 0.0003, 0)</f>
        <v>21.409399999999998</v>
      </c>
      <c r="D278" s="4">
        <f>29.1708 * CHOOSE(CONTROL!$C$9, $C$13, 100%, $E$13) + CHOOSE(CONTROL!$C$28, 0, 0)</f>
        <v>29.1708</v>
      </c>
      <c r="E278" s="4">
        <f>126.955217881982 * CHOOSE(CONTROL!$C$9, $C$13, 100%, $E$13) + CHOOSE(CONTROL!$C$28, 0, 0)</f>
        <v>126.95521788198199</v>
      </c>
    </row>
    <row r="279" spans="1:5" ht="15">
      <c r="A279" s="14">
        <v>50345</v>
      </c>
      <c r="B279" s="4">
        <f>21.2823 * CHOOSE(CONTROL!$C$9, $C$13, 100%, $E$13) + CHOOSE(CONTROL!$C$28, 0.0003, 0)</f>
        <v>21.282599999999999</v>
      </c>
      <c r="C279" s="4">
        <f>20.9698 * CHOOSE(CONTROL!$C$9, $C$13, 100%, $E$13) + CHOOSE(CONTROL!$C$28, 0.0003, 0)</f>
        <v>20.970099999999999</v>
      </c>
      <c r="D279" s="4">
        <f>29.0398 * CHOOSE(CONTROL!$C$9, $C$13, 100%, $E$13) + CHOOSE(CONTROL!$C$28, 0, 0)</f>
        <v>29.0398</v>
      </c>
      <c r="E279" s="4">
        <f>124.145048126644 * CHOOSE(CONTROL!$C$9, $C$13, 100%, $E$13) + CHOOSE(CONTROL!$C$28, 0, 0)</f>
        <v>124.145048126644</v>
      </c>
    </row>
    <row r="280" spans="1:5" ht="15">
      <c r="A280" s="14">
        <v>50375</v>
      </c>
      <c r="B280" s="4">
        <f>20.9784 * CHOOSE(CONTROL!$C$9, $C$13, 100%, $E$13) + CHOOSE(CONTROL!$C$28, 0.0003, 0)</f>
        <v>20.9787</v>
      </c>
      <c r="C280" s="4">
        <f>20.6659 * CHOOSE(CONTROL!$C$9, $C$13, 100%, $E$13) + CHOOSE(CONTROL!$C$28, 0.0003, 0)</f>
        <v>20.6662</v>
      </c>
      <c r="D280" s="4">
        <f>28.0748 * CHOOSE(CONTROL!$C$9, $C$13, 100%, $E$13) + CHOOSE(CONTROL!$C$28, 0, 0)</f>
        <v>28.0748</v>
      </c>
      <c r="E280" s="4">
        <f>122.200771887601 * CHOOSE(CONTROL!$C$9, $C$13, 100%, $E$13) + CHOOSE(CONTROL!$C$28, 0, 0)</f>
        <v>122.20077188760099</v>
      </c>
    </row>
    <row r="281" spans="1:5" ht="15">
      <c r="A281" s="13">
        <v>50436</v>
      </c>
      <c r="B281" s="4">
        <f>20.4845 * CHOOSE(CONTROL!$C$9, $C$13, 100%, $E$13) + CHOOSE(CONTROL!$C$28, 0.0003, 0)</f>
        <v>20.4848</v>
      </c>
      <c r="C281" s="4">
        <f>20.172 * CHOOSE(CONTROL!$C$9, $C$13, 100%, $E$13) + CHOOSE(CONTROL!$C$28, 0.0003, 0)</f>
        <v>20.1723</v>
      </c>
      <c r="D281" s="4">
        <f>27.1879 * CHOOSE(CONTROL!$C$9, $C$13, 100%, $E$13) + CHOOSE(CONTROL!$C$28, 0, 0)</f>
        <v>27.187899999999999</v>
      </c>
      <c r="E281" s="4">
        <f>118.696519419961 * CHOOSE(CONTROL!$C$9, $C$13, 100%, $E$13) + CHOOSE(CONTROL!$C$28, 0, 0)</f>
        <v>118.69651941996101</v>
      </c>
    </row>
    <row r="282" spans="1:5" ht="15">
      <c r="A282" s="13">
        <v>50464</v>
      </c>
      <c r="B282" s="4">
        <f>20.9264 * CHOOSE(CONTROL!$C$9, $C$13, 100%, $E$13) + CHOOSE(CONTROL!$C$28, 0.0003, 0)</f>
        <v>20.9267</v>
      </c>
      <c r="C282" s="4">
        <f>20.6139 * CHOOSE(CONTROL!$C$9, $C$13, 100%, $E$13) + CHOOSE(CONTROL!$C$28, 0.0003, 0)</f>
        <v>20.6142</v>
      </c>
      <c r="D282" s="4">
        <f>28.081 * CHOOSE(CONTROL!$C$9, $C$13, 100%, $E$13) + CHOOSE(CONTROL!$C$28, 0, 0)</f>
        <v>28.081</v>
      </c>
      <c r="E282" s="4">
        <f>121.514842563225 * CHOOSE(CONTROL!$C$9, $C$13, 100%, $E$13) + CHOOSE(CONTROL!$C$28, 0, 0)</f>
        <v>121.514842563225</v>
      </c>
    </row>
    <row r="283" spans="1:5" ht="15">
      <c r="A283" s="13">
        <v>50495</v>
      </c>
      <c r="B283" s="4">
        <f>22.0867 * CHOOSE(CONTROL!$C$9, $C$13, 100%, $E$13) + CHOOSE(CONTROL!$C$28, 0.0003, 0)</f>
        <v>22.087</v>
      </c>
      <c r="C283" s="4">
        <f>21.7742 * CHOOSE(CONTROL!$C$9, $C$13, 100%, $E$13) + CHOOSE(CONTROL!$C$28, 0.0003, 0)</f>
        <v>21.7745</v>
      </c>
      <c r="D283" s="4">
        <f>29.4791 * CHOOSE(CONTROL!$C$9, $C$13, 100%, $E$13) + CHOOSE(CONTROL!$C$28, 0, 0)</f>
        <v>29.479099999999999</v>
      </c>
      <c r="E283" s="4">
        <f>128.915908912223 * CHOOSE(CONTROL!$C$9, $C$13, 100%, $E$13) + CHOOSE(CONTROL!$C$28, 0, 0)</f>
        <v>128.91590891222299</v>
      </c>
    </row>
    <row r="284" spans="1:5" ht="15">
      <c r="A284" s="13">
        <v>50525</v>
      </c>
      <c r="B284" s="4">
        <f>22.9112 * CHOOSE(CONTROL!$C$9, $C$13, 100%, $E$13) + CHOOSE(CONTROL!$C$28, 0.0003, 0)</f>
        <v>22.9115</v>
      </c>
      <c r="C284" s="4">
        <f>22.5987 * CHOOSE(CONTROL!$C$9, $C$13, 100%, $E$13) + CHOOSE(CONTROL!$C$28, 0.0003, 0)</f>
        <v>22.599</v>
      </c>
      <c r="D284" s="4">
        <f>30.2844 * CHOOSE(CONTROL!$C$9, $C$13, 100%, $E$13) + CHOOSE(CONTROL!$C$28, 0, 0)</f>
        <v>30.284400000000002</v>
      </c>
      <c r="E284" s="4">
        <f>134.174465185364 * CHOOSE(CONTROL!$C$9, $C$13, 100%, $E$13) + CHOOSE(CONTROL!$C$28, 0, 0)</f>
        <v>134.174465185364</v>
      </c>
    </row>
    <row r="285" spans="1:5" ht="15">
      <c r="A285" s="13">
        <v>50556</v>
      </c>
      <c r="B285" s="4">
        <f>23.4149 * CHOOSE(CONTROL!$C$9, $C$13, 100%, $E$13) + CHOOSE(CONTROL!$C$28, 0.0294, 0)</f>
        <v>23.444299999999998</v>
      </c>
      <c r="C285" s="4">
        <f>23.1024 * CHOOSE(CONTROL!$C$9, $C$13, 100%, $E$13) + CHOOSE(CONTROL!$C$28, 0.0294, 0)</f>
        <v>23.131799999999998</v>
      </c>
      <c r="D285" s="4">
        <f>29.9662 * CHOOSE(CONTROL!$C$9, $C$13, 100%, $E$13) + CHOOSE(CONTROL!$C$28, 0, 0)</f>
        <v>29.966200000000001</v>
      </c>
      <c r="E285" s="4">
        <f>137.387317038249 * CHOOSE(CONTROL!$C$9, $C$13, 100%, $E$13) + CHOOSE(CONTROL!$C$28, 0, 0)</f>
        <v>137.38731703824899</v>
      </c>
    </row>
    <row r="286" spans="1:5" ht="15">
      <c r="A286" s="13">
        <v>50586</v>
      </c>
      <c r="B286" s="4">
        <f>23.4831 * CHOOSE(CONTROL!$C$9, $C$13, 100%, $E$13) + CHOOSE(CONTROL!$C$28, 0.0294, 0)</f>
        <v>23.512499999999999</v>
      </c>
      <c r="C286" s="4">
        <f>23.1706 * CHOOSE(CONTROL!$C$9, $C$13, 100%, $E$13) + CHOOSE(CONTROL!$C$28, 0.0294, 0)</f>
        <v>23.2</v>
      </c>
      <c r="D286" s="4">
        <f>30.2254 * CHOOSE(CONTROL!$C$9, $C$13, 100%, $E$13) + CHOOSE(CONTROL!$C$28, 0, 0)</f>
        <v>30.2254</v>
      </c>
      <c r="E286" s="4">
        <f>137.822029227553 * CHOOSE(CONTROL!$C$9, $C$13, 100%, $E$13) + CHOOSE(CONTROL!$C$28, 0, 0)</f>
        <v>137.822029227553</v>
      </c>
    </row>
    <row r="287" spans="1:5" ht="15">
      <c r="A287" s="13">
        <v>50617</v>
      </c>
      <c r="B287" s="4">
        <f>23.4762 * CHOOSE(CONTROL!$C$9, $C$13, 100%, $E$13) + CHOOSE(CONTROL!$C$28, 0.0294, 0)</f>
        <v>23.505599999999998</v>
      </c>
      <c r="C287" s="4">
        <f>23.1637 * CHOOSE(CONTROL!$C$9, $C$13, 100%, $E$13) + CHOOSE(CONTROL!$C$28, 0.0294, 0)</f>
        <v>23.193099999999998</v>
      </c>
      <c r="D287" s="4">
        <f>30.693 * CHOOSE(CONTROL!$C$9, $C$13, 100%, $E$13) + CHOOSE(CONTROL!$C$28, 0, 0)</f>
        <v>30.693000000000001</v>
      </c>
      <c r="E287" s="4">
        <f>137.778192704262 * CHOOSE(CONTROL!$C$9, $C$13, 100%, $E$13) + CHOOSE(CONTROL!$C$28, 0, 0)</f>
        <v>137.77819270426201</v>
      </c>
    </row>
    <row r="288" spans="1:5" ht="15">
      <c r="A288" s="13">
        <v>50648</v>
      </c>
      <c r="B288" s="4">
        <f>23.9934 * CHOOSE(CONTROL!$C$9, $C$13, 100%, $E$13) + CHOOSE(CONTROL!$C$28, 0.0294, 0)</f>
        <v>24.0228</v>
      </c>
      <c r="C288" s="4">
        <f>23.6809 * CHOOSE(CONTROL!$C$9, $C$13, 100%, $E$13) + CHOOSE(CONTROL!$C$28, 0.0294, 0)</f>
        <v>23.7103</v>
      </c>
      <c r="D288" s="4">
        <f>30.3842 * CHOOSE(CONTROL!$C$9, $C$13, 100%, $E$13) + CHOOSE(CONTROL!$C$28, 0, 0)</f>
        <v>30.3842</v>
      </c>
      <c r="E288" s="4">
        <f>141.076891081925 * CHOOSE(CONTROL!$C$9, $C$13, 100%, $E$13) + CHOOSE(CONTROL!$C$28, 0, 0)</f>
        <v>141.076891081925</v>
      </c>
    </row>
    <row r="289" spans="1:5" ht="15">
      <c r="A289" s="13">
        <v>50678</v>
      </c>
      <c r="B289" s="4">
        <f>23.1119 * CHOOSE(CONTROL!$C$9, $C$13, 100%, $E$13) + CHOOSE(CONTROL!$C$28, 0.0294, 0)</f>
        <v>23.141299999999998</v>
      </c>
      <c r="C289" s="4">
        <f>22.7994 * CHOOSE(CONTROL!$C$9, $C$13, 100%, $E$13) + CHOOSE(CONTROL!$C$28, 0.0294, 0)</f>
        <v>22.828799999999998</v>
      </c>
      <c r="D289" s="4">
        <f>30.2383 * CHOOSE(CONTROL!$C$9, $C$13, 100%, $E$13) + CHOOSE(CONTROL!$C$28, 0, 0)</f>
        <v>30.238299999999999</v>
      </c>
      <c r="E289" s="4">
        <f>135.454856969828 * CHOOSE(CONTROL!$C$9, $C$13, 100%, $E$13) + CHOOSE(CONTROL!$C$28, 0, 0)</f>
        <v>135.454856969828</v>
      </c>
    </row>
    <row r="290" spans="1:5" ht="15">
      <c r="A290" s="13">
        <v>50709</v>
      </c>
      <c r="B290" s="4">
        <f>22.4063 * CHOOSE(CONTROL!$C$9, $C$13, 100%, $E$13) + CHOOSE(CONTROL!$C$28, 0.0003, 0)</f>
        <v>22.406600000000001</v>
      </c>
      <c r="C290" s="4">
        <f>22.0938 * CHOOSE(CONTROL!$C$9, $C$13, 100%, $E$13) + CHOOSE(CONTROL!$C$28, 0.0003, 0)</f>
        <v>22.094100000000001</v>
      </c>
      <c r="D290" s="4">
        <f>29.8476 * CHOOSE(CONTROL!$C$9, $C$13, 100%, $E$13) + CHOOSE(CONTROL!$C$28, 0, 0)</f>
        <v>29.8476</v>
      </c>
      <c r="E290" s="4">
        <f>130.954307245264 * CHOOSE(CONTROL!$C$9, $C$13, 100%, $E$13) + CHOOSE(CONTROL!$C$28, 0, 0)</f>
        <v>130.954307245264</v>
      </c>
    </row>
    <row r="291" spans="1:5" ht="15">
      <c r="A291" s="13">
        <v>50739</v>
      </c>
      <c r="B291" s="4">
        <f>21.9519 * CHOOSE(CONTROL!$C$9, $C$13, 100%, $E$13) + CHOOSE(CONTROL!$C$28, 0.0003, 0)</f>
        <v>21.952199999999998</v>
      </c>
      <c r="C291" s="4">
        <f>21.6394 * CHOOSE(CONTROL!$C$9, $C$13, 100%, $E$13) + CHOOSE(CONTROL!$C$28, 0.0003, 0)</f>
        <v>21.639699999999998</v>
      </c>
      <c r="D291" s="4">
        <f>29.7132 * CHOOSE(CONTROL!$C$9, $C$13, 100%, $E$13) + CHOOSE(CONTROL!$C$28, 0, 0)</f>
        <v>29.713200000000001</v>
      </c>
      <c r="E291" s="4">
        <f>128.055617142633 * CHOOSE(CONTROL!$C$9, $C$13, 100%, $E$13) + CHOOSE(CONTROL!$C$28, 0, 0)</f>
        <v>128.055617142633</v>
      </c>
    </row>
    <row r="292" spans="1:5" ht="15">
      <c r="A292" s="13">
        <v>50770</v>
      </c>
      <c r="B292" s="4">
        <f>21.6374 * CHOOSE(CONTROL!$C$9, $C$13, 100%, $E$13) + CHOOSE(CONTROL!$C$28, 0.0003, 0)</f>
        <v>21.637699999999999</v>
      </c>
      <c r="C292" s="4">
        <f>21.3249 * CHOOSE(CONTROL!$C$9, $C$13, 100%, $E$13) + CHOOSE(CONTROL!$C$28, 0.0003, 0)</f>
        <v>21.325199999999999</v>
      </c>
      <c r="D292" s="4">
        <f>28.7243 * CHOOSE(CONTROL!$C$9, $C$13, 100%, $E$13) + CHOOSE(CONTROL!$C$28, 0, 0)</f>
        <v>28.724299999999999</v>
      </c>
      <c r="E292" s="4">
        <f>126.050096202061 * CHOOSE(CONTROL!$C$9, $C$13, 100%, $E$13) + CHOOSE(CONTROL!$C$28, 0, 0)</f>
        <v>126.050096202061</v>
      </c>
    </row>
    <row r="293" spans="1:5" ht="15">
      <c r="A293" s="13">
        <v>50801</v>
      </c>
      <c r="B293" s="4">
        <f>21.1265 * CHOOSE(CONTROL!$C$9, $C$13, 100%, $E$13) + CHOOSE(CONTROL!$C$28, 0.0003, 0)</f>
        <v>21.126799999999999</v>
      </c>
      <c r="C293" s="4">
        <f>20.814 * CHOOSE(CONTROL!$C$9, $C$13, 100%, $E$13) + CHOOSE(CONTROL!$C$28, 0.0003, 0)</f>
        <v>20.814299999999999</v>
      </c>
      <c r="D293" s="4">
        <f>27.8154 * CHOOSE(CONTROL!$C$9, $C$13, 100%, $E$13) + CHOOSE(CONTROL!$C$28, 0, 0)</f>
        <v>27.8154</v>
      </c>
      <c r="E293" s="4">
        <f>122.435459781689 * CHOOSE(CONTROL!$C$9, $C$13, 100%, $E$13) + CHOOSE(CONTROL!$C$28, 0, 0)</f>
        <v>122.435459781689</v>
      </c>
    </row>
    <row r="294" spans="1:5" ht="15">
      <c r="A294" s="13">
        <v>50829</v>
      </c>
      <c r="B294" s="4">
        <f>21.5837 * CHOOSE(CONTROL!$C$9, $C$13, 100%, $E$13) + CHOOSE(CONTROL!$C$28, 0.0003, 0)</f>
        <v>21.584</v>
      </c>
      <c r="C294" s="4">
        <f>21.2712 * CHOOSE(CONTROL!$C$9, $C$13, 100%, $E$13) + CHOOSE(CONTROL!$C$28, 0.0003, 0)</f>
        <v>21.2715</v>
      </c>
      <c r="D294" s="4">
        <f>28.7307 * CHOOSE(CONTROL!$C$9, $C$13, 100%, $E$13) + CHOOSE(CONTROL!$C$28, 0, 0)</f>
        <v>28.730699999999999</v>
      </c>
      <c r="E294" s="4">
        <f>125.342560103966 * CHOOSE(CONTROL!$C$9, $C$13, 100%, $E$13) + CHOOSE(CONTROL!$C$28, 0, 0)</f>
        <v>125.34256010396599</v>
      </c>
    </row>
    <row r="295" spans="1:5" ht="15">
      <c r="A295" s="13">
        <v>50860</v>
      </c>
      <c r="B295" s="4">
        <f>22.784 * CHOOSE(CONTROL!$C$9, $C$13, 100%, $E$13) + CHOOSE(CONTROL!$C$28, 0.0003, 0)</f>
        <v>22.784299999999998</v>
      </c>
      <c r="C295" s="4">
        <f>22.4715 * CHOOSE(CONTROL!$C$9, $C$13, 100%, $E$13) + CHOOSE(CONTROL!$C$28, 0.0003, 0)</f>
        <v>22.471799999999998</v>
      </c>
      <c r="D295" s="4">
        <f>30.1635 * CHOOSE(CONTROL!$C$9, $C$13, 100%, $E$13) + CHOOSE(CONTROL!$C$28, 0, 0)</f>
        <v>30.163499999999999</v>
      </c>
      <c r="E295" s="4">
        <f>132.976760042958 * CHOOSE(CONTROL!$C$9, $C$13, 100%, $E$13) + CHOOSE(CONTROL!$C$28, 0, 0)</f>
        <v>132.97676004295801</v>
      </c>
    </row>
    <row r="296" spans="1:5" ht="15">
      <c r="A296" s="13">
        <v>50890</v>
      </c>
      <c r="B296" s="4">
        <f>23.6369 * CHOOSE(CONTROL!$C$9, $C$13, 100%, $E$13) + CHOOSE(CONTROL!$C$28, 0.0003, 0)</f>
        <v>23.6372</v>
      </c>
      <c r="C296" s="4">
        <f>23.3244 * CHOOSE(CONTROL!$C$9, $C$13, 100%, $E$13) + CHOOSE(CONTROL!$C$28, 0.0003, 0)</f>
        <v>23.3247</v>
      </c>
      <c r="D296" s="4">
        <f>30.9888 * CHOOSE(CONTROL!$C$9, $C$13, 100%, $E$13) + CHOOSE(CONTROL!$C$28, 0, 0)</f>
        <v>30.988800000000001</v>
      </c>
      <c r="E296" s="4">
        <f>138.400960838703 * CHOOSE(CONTROL!$C$9, $C$13, 100%, $E$13) + CHOOSE(CONTROL!$C$28, 0, 0)</f>
        <v>138.40096083870301</v>
      </c>
    </row>
    <row r="297" spans="1:5" ht="15">
      <c r="A297" s="13">
        <v>50921</v>
      </c>
      <c r="B297" s="4">
        <f>24.158 * CHOOSE(CONTROL!$C$9, $C$13, 100%, $E$13) + CHOOSE(CONTROL!$C$28, 0.0294, 0)</f>
        <v>24.1874</v>
      </c>
      <c r="C297" s="4">
        <f>23.8455 * CHOOSE(CONTROL!$C$9, $C$13, 100%, $E$13) + CHOOSE(CONTROL!$C$28, 0.0294, 0)</f>
        <v>23.8749</v>
      </c>
      <c r="D297" s="4">
        <f>30.6627 * CHOOSE(CONTROL!$C$9, $C$13, 100%, $E$13) + CHOOSE(CONTROL!$C$28, 0, 0)</f>
        <v>30.662700000000001</v>
      </c>
      <c r="E297" s="4">
        <f>141.715017524954 * CHOOSE(CONTROL!$C$9, $C$13, 100%, $E$13) + CHOOSE(CONTROL!$C$28, 0, 0)</f>
        <v>141.71501752495399</v>
      </c>
    </row>
    <row r="298" spans="1:5" ht="15">
      <c r="A298" s="13">
        <v>50951</v>
      </c>
      <c r="B298" s="4">
        <f>24.2285 * CHOOSE(CONTROL!$C$9, $C$13, 100%, $E$13) + CHOOSE(CONTROL!$C$28, 0.0294, 0)</f>
        <v>24.257899999999999</v>
      </c>
      <c r="C298" s="4">
        <f>23.916 * CHOOSE(CONTROL!$C$9, $C$13, 100%, $E$13) + CHOOSE(CONTROL!$C$28, 0.0294, 0)</f>
        <v>23.945399999999999</v>
      </c>
      <c r="D298" s="4">
        <f>30.9283 * CHOOSE(CONTROL!$C$9, $C$13, 100%, $E$13) + CHOOSE(CONTROL!$C$28, 0, 0)</f>
        <v>30.9283</v>
      </c>
      <c r="E298" s="4">
        <f>142.163423148221 * CHOOSE(CONTROL!$C$9, $C$13, 100%, $E$13) + CHOOSE(CONTROL!$C$28, 0, 0)</f>
        <v>142.163423148221</v>
      </c>
    </row>
    <row r="299" spans="1:5" ht="15">
      <c r="A299" s="13">
        <v>50982</v>
      </c>
      <c r="B299" s="4">
        <f>24.2214 * CHOOSE(CONTROL!$C$9, $C$13, 100%, $E$13) + CHOOSE(CONTROL!$C$28, 0.0294, 0)</f>
        <v>24.250799999999998</v>
      </c>
      <c r="C299" s="4">
        <f>23.9089 * CHOOSE(CONTROL!$C$9, $C$13, 100%, $E$13) + CHOOSE(CONTROL!$C$28, 0.0294, 0)</f>
        <v>23.938299999999998</v>
      </c>
      <c r="D299" s="4">
        <f>31.4075 * CHOOSE(CONTROL!$C$9, $C$13, 100%, $E$13) + CHOOSE(CONTROL!$C$28, 0, 0)</f>
        <v>31.407499999999999</v>
      </c>
      <c r="E299" s="4">
        <f>142.118205774446 * CHOOSE(CONTROL!$C$9, $C$13, 100%, $E$13) + CHOOSE(CONTROL!$C$28, 0, 0)</f>
        <v>142.11820577444601</v>
      </c>
    </row>
    <row r="300" spans="1:5" ht="15">
      <c r="A300" s="13">
        <v>51013</v>
      </c>
      <c r="B300" s="4">
        <f>24.7564 * CHOOSE(CONTROL!$C$9, $C$13, 100%, $E$13) + CHOOSE(CONTROL!$C$28, 0.0294, 0)</f>
        <v>24.785799999999998</v>
      </c>
      <c r="C300" s="4">
        <f>24.4439 * CHOOSE(CONTROL!$C$9, $C$13, 100%, $E$13) + CHOOSE(CONTROL!$C$28, 0.0294, 0)</f>
        <v>24.473299999999998</v>
      </c>
      <c r="D300" s="4">
        <f>31.091 * CHOOSE(CONTROL!$C$9, $C$13, 100%, $E$13) + CHOOSE(CONTROL!$C$28, 0, 0)</f>
        <v>31.091000000000001</v>
      </c>
      <c r="E300" s="4">
        <f>145.520813151006 * CHOOSE(CONTROL!$C$9, $C$13, 100%, $E$13) + CHOOSE(CONTROL!$C$28, 0, 0)</f>
        <v>145.520813151006</v>
      </c>
    </row>
    <row r="301" spans="1:5" ht="15">
      <c r="A301" s="13">
        <v>51043</v>
      </c>
      <c r="B301" s="4">
        <f>23.8446 * CHOOSE(CONTROL!$C$9, $C$13, 100%, $E$13) + CHOOSE(CONTROL!$C$28, 0.0294, 0)</f>
        <v>23.873999999999999</v>
      </c>
      <c r="C301" s="4">
        <f>23.5321 * CHOOSE(CONTROL!$C$9, $C$13, 100%, $E$13) + CHOOSE(CONTROL!$C$28, 0.0294, 0)</f>
        <v>23.561499999999999</v>
      </c>
      <c r="D301" s="4">
        <f>30.9415 * CHOOSE(CONTROL!$C$9, $C$13, 100%, $E$13) + CHOOSE(CONTROL!$C$28, 0, 0)</f>
        <v>30.941500000000001</v>
      </c>
      <c r="E301" s="4">
        <f>139.721684964378 * CHOOSE(CONTROL!$C$9, $C$13, 100%, $E$13) + CHOOSE(CONTROL!$C$28, 0, 0)</f>
        <v>139.721684964378</v>
      </c>
    </row>
    <row r="302" spans="1:5" ht="15">
      <c r="A302" s="13">
        <v>51074</v>
      </c>
      <c r="B302" s="4">
        <f>23.1147 * CHOOSE(CONTROL!$C$9, $C$13, 100%, $E$13) + CHOOSE(CONTROL!$C$28, 0.0003, 0)</f>
        <v>23.114999999999998</v>
      </c>
      <c r="C302" s="4">
        <f>22.8022 * CHOOSE(CONTROL!$C$9, $C$13, 100%, $E$13) + CHOOSE(CONTROL!$C$28, 0.0003, 0)</f>
        <v>22.802499999999998</v>
      </c>
      <c r="D302" s="4">
        <f>30.5411 * CHOOSE(CONTROL!$C$9, $C$13, 100%, $E$13) + CHOOSE(CONTROL!$C$28, 0, 0)</f>
        <v>30.5411</v>
      </c>
      <c r="E302" s="4">
        <f>135.07936792349 * CHOOSE(CONTROL!$C$9, $C$13, 100%, $E$13) + CHOOSE(CONTROL!$C$28, 0, 0)</f>
        <v>135.07936792349</v>
      </c>
    </row>
    <row r="303" spans="1:5" ht="15">
      <c r="A303" s="13">
        <v>51104</v>
      </c>
      <c r="B303" s="4">
        <f>22.6445 * CHOOSE(CONTROL!$C$9, $C$13, 100%, $E$13) + CHOOSE(CONTROL!$C$28, 0.0003, 0)</f>
        <v>22.6448</v>
      </c>
      <c r="C303" s="4">
        <f>22.332 * CHOOSE(CONTROL!$C$9, $C$13, 100%, $E$13) + CHOOSE(CONTROL!$C$28, 0.0003, 0)</f>
        <v>22.3323</v>
      </c>
      <c r="D303" s="4">
        <f>30.4034 * CHOOSE(CONTROL!$C$9, $C$13, 100%, $E$13) + CHOOSE(CONTROL!$C$28, 0, 0)</f>
        <v>30.403400000000001</v>
      </c>
      <c r="E303" s="4">
        <f>132.089369082626 * CHOOSE(CONTROL!$C$9, $C$13, 100%, $E$13) + CHOOSE(CONTROL!$C$28, 0, 0)</f>
        <v>132.08936908262601</v>
      </c>
    </row>
    <row r="304" spans="1:5" ht="15">
      <c r="A304" s="13">
        <v>51135</v>
      </c>
      <c r="B304" s="4">
        <f>22.3192 * CHOOSE(CONTROL!$C$9, $C$13, 100%, $E$13) + CHOOSE(CONTROL!$C$28, 0.0003, 0)</f>
        <v>22.319499999999998</v>
      </c>
      <c r="C304" s="4">
        <f>22.0067 * CHOOSE(CONTROL!$C$9, $C$13, 100%, $E$13) + CHOOSE(CONTROL!$C$28, 0.0003, 0)</f>
        <v>22.006999999999998</v>
      </c>
      <c r="D304" s="4">
        <f>29.39 * CHOOSE(CONTROL!$C$9, $C$13, 100%, $E$13) + CHOOSE(CONTROL!$C$28, 0, 0)</f>
        <v>29.39</v>
      </c>
      <c r="E304" s="4">
        <f>130.020674232426 * CHOOSE(CONTROL!$C$9, $C$13, 100%, $E$13) + CHOOSE(CONTROL!$C$28, 0, 0)</f>
        <v>130.02067423242599</v>
      </c>
    </row>
    <row r="305" spans="1:5" ht="15">
      <c r="A305" s="13">
        <v>51166</v>
      </c>
      <c r="B305" s="4">
        <f>21.7907 * CHOOSE(CONTROL!$C$9, $C$13, 100%, $E$13) + CHOOSE(CONTROL!$C$28, 0.0003, 0)</f>
        <v>21.791</v>
      </c>
      <c r="C305" s="4">
        <f>21.4782 * CHOOSE(CONTROL!$C$9, $C$13, 100%, $E$13) + CHOOSE(CONTROL!$C$28, 0.0003, 0)</f>
        <v>21.4785</v>
      </c>
      <c r="D305" s="4">
        <f>28.4586 * CHOOSE(CONTROL!$C$9, $C$13, 100%, $E$13) + CHOOSE(CONTROL!$C$28, 0, 0)</f>
        <v>28.458600000000001</v>
      </c>
      <c r="E305" s="4">
        <f>126.292176764813 * CHOOSE(CONTROL!$C$9, $C$13, 100%, $E$13) + CHOOSE(CONTROL!$C$28, 0, 0)</f>
        <v>126.29217676481299</v>
      </c>
    </row>
    <row r="306" spans="1:5" ht="15">
      <c r="A306" s="13">
        <v>51194</v>
      </c>
      <c r="B306" s="4">
        <f>22.2636 * CHOOSE(CONTROL!$C$9, $C$13, 100%, $E$13) + CHOOSE(CONTROL!$C$28, 0.0003, 0)</f>
        <v>22.2639</v>
      </c>
      <c r="C306" s="4">
        <f>21.9511 * CHOOSE(CONTROL!$C$9, $C$13, 100%, $E$13) + CHOOSE(CONTROL!$C$28, 0.0003, 0)</f>
        <v>21.9514</v>
      </c>
      <c r="D306" s="4">
        <f>29.3965 * CHOOSE(CONTROL!$C$9, $C$13, 100%, $E$13) + CHOOSE(CONTROL!$C$28, 0, 0)</f>
        <v>29.3965</v>
      </c>
      <c r="E306" s="4">
        <f>129.290850747241 * CHOOSE(CONTROL!$C$9, $C$13, 100%, $E$13) + CHOOSE(CONTROL!$C$28, 0, 0)</f>
        <v>129.290850747241</v>
      </c>
    </row>
    <row r="307" spans="1:5" ht="15">
      <c r="A307" s="13">
        <v>51226</v>
      </c>
      <c r="B307" s="4">
        <f>23.5054 * CHOOSE(CONTROL!$C$9, $C$13, 100%, $E$13) + CHOOSE(CONTROL!$C$28, 0.0003, 0)</f>
        <v>23.505700000000001</v>
      </c>
      <c r="C307" s="4">
        <f>23.1929 * CHOOSE(CONTROL!$C$9, $C$13, 100%, $E$13) + CHOOSE(CONTROL!$C$28, 0.0003, 0)</f>
        <v>23.193200000000001</v>
      </c>
      <c r="D307" s="4">
        <f>30.8648 * CHOOSE(CONTROL!$C$9, $C$13, 100%, $E$13) + CHOOSE(CONTROL!$C$28, 0, 0)</f>
        <v>30.864799999999999</v>
      </c>
      <c r="E307" s="4">
        <f>137.165527984311 * CHOOSE(CONTROL!$C$9, $C$13, 100%, $E$13) + CHOOSE(CONTROL!$C$28, 0, 0)</f>
        <v>137.16552798431101</v>
      </c>
    </row>
    <row r="308" spans="1:5" ht="15">
      <c r="A308" s="13">
        <v>51256</v>
      </c>
      <c r="B308" s="4">
        <f>24.3877 * CHOOSE(CONTROL!$C$9, $C$13, 100%, $E$13) + CHOOSE(CONTROL!$C$28, 0.0003, 0)</f>
        <v>24.387999999999998</v>
      </c>
      <c r="C308" s="4">
        <f>24.0752 * CHOOSE(CONTROL!$C$9, $C$13, 100%, $E$13) + CHOOSE(CONTROL!$C$28, 0.0003, 0)</f>
        <v>24.075499999999998</v>
      </c>
      <c r="D308" s="4">
        <f>31.7106 * CHOOSE(CONTROL!$C$9, $C$13, 100%, $E$13) + CHOOSE(CONTROL!$C$28, 0, 0)</f>
        <v>31.710599999999999</v>
      </c>
      <c r="E308" s="4">
        <f>142.760591105122 * CHOOSE(CONTROL!$C$9, $C$13, 100%, $E$13) + CHOOSE(CONTROL!$C$28, 0, 0)</f>
        <v>142.76059110512199</v>
      </c>
    </row>
    <row r="309" spans="1:5" ht="15">
      <c r="A309" s="13">
        <v>51287</v>
      </c>
      <c r="B309" s="4">
        <f>24.9268 * CHOOSE(CONTROL!$C$9, $C$13, 100%, $E$13) + CHOOSE(CONTROL!$C$28, 0.0294, 0)</f>
        <v>24.956199999999999</v>
      </c>
      <c r="C309" s="4">
        <f>24.6143 * CHOOSE(CONTROL!$C$9, $C$13, 100%, $E$13) + CHOOSE(CONTROL!$C$28, 0.0294, 0)</f>
        <v>24.643699999999999</v>
      </c>
      <c r="D309" s="4">
        <f>31.3764 * CHOOSE(CONTROL!$C$9, $C$13, 100%, $E$13) + CHOOSE(CONTROL!$C$28, 0, 0)</f>
        <v>31.3764</v>
      </c>
      <c r="E309" s="4">
        <f>146.17904057699 * CHOOSE(CONTROL!$C$9, $C$13, 100%, $E$13) + CHOOSE(CONTROL!$C$28, 0, 0)</f>
        <v>146.17904057698999</v>
      </c>
    </row>
    <row r="310" spans="1:5" ht="15">
      <c r="A310" s="13">
        <v>51317</v>
      </c>
      <c r="B310" s="4">
        <f>24.9997 * CHOOSE(CONTROL!$C$9, $C$13, 100%, $E$13) + CHOOSE(CONTROL!$C$28, 0.0294, 0)</f>
        <v>25.0291</v>
      </c>
      <c r="C310" s="4">
        <f>24.6872 * CHOOSE(CONTROL!$C$9, $C$13, 100%, $E$13) + CHOOSE(CONTROL!$C$28, 0.0294, 0)</f>
        <v>24.7166</v>
      </c>
      <c r="D310" s="4">
        <f>31.6486 * CHOOSE(CONTROL!$C$9, $C$13, 100%, $E$13) + CHOOSE(CONTROL!$C$28, 0, 0)</f>
        <v>31.648599999999998</v>
      </c>
      <c r="E310" s="4">
        <f>146.64157097739 * CHOOSE(CONTROL!$C$9, $C$13, 100%, $E$13) + CHOOSE(CONTROL!$C$28, 0, 0)</f>
        <v>146.64157097738999</v>
      </c>
    </row>
    <row r="311" spans="1:5" ht="15">
      <c r="A311" s="13">
        <v>51348</v>
      </c>
      <c r="B311" s="4">
        <f>24.9924 * CHOOSE(CONTROL!$C$9, $C$13, 100%, $E$13) + CHOOSE(CONTROL!$C$28, 0.0294, 0)</f>
        <v>25.021799999999999</v>
      </c>
      <c r="C311" s="4">
        <f>24.6799 * CHOOSE(CONTROL!$C$9, $C$13, 100%, $E$13) + CHOOSE(CONTROL!$C$28, 0.0294, 0)</f>
        <v>24.709299999999999</v>
      </c>
      <c r="D311" s="4">
        <f>32.1398 * CHOOSE(CONTROL!$C$9, $C$13, 100%, $E$13) + CHOOSE(CONTROL!$C$28, 0, 0)</f>
        <v>32.139800000000001</v>
      </c>
      <c r="E311" s="4">
        <f>146.594929256341 * CHOOSE(CONTROL!$C$9, $C$13, 100%, $E$13) + CHOOSE(CONTROL!$C$28, 0, 0)</f>
        <v>146.594929256341</v>
      </c>
    </row>
    <row r="312" spans="1:5" ht="15">
      <c r="A312" s="13">
        <v>51379</v>
      </c>
      <c r="B312" s="4">
        <f>25.5459 * CHOOSE(CONTROL!$C$9, $C$13, 100%, $E$13) + CHOOSE(CONTROL!$C$28, 0.0294, 0)</f>
        <v>25.575299999999999</v>
      </c>
      <c r="C312" s="4">
        <f>25.2334 * CHOOSE(CONTROL!$C$9, $C$13, 100%, $E$13) + CHOOSE(CONTROL!$C$28, 0.0294, 0)</f>
        <v>25.262799999999999</v>
      </c>
      <c r="D312" s="4">
        <f>31.8154 * CHOOSE(CONTROL!$C$9, $C$13, 100%, $E$13) + CHOOSE(CONTROL!$C$28, 0, 0)</f>
        <v>31.8154</v>
      </c>
      <c r="E312" s="4">
        <f>150.104718765263 * CHOOSE(CONTROL!$C$9, $C$13, 100%, $E$13) + CHOOSE(CONTROL!$C$28, 0, 0)</f>
        <v>150.10471876526299</v>
      </c>
    </row>
    <row r="313" spans="1:5" ht="15">
      <c r="A313" s="13">
        <v>51409</v>
      </c>
      <c r="B313" s="4">
        <f>24.6026 * CHOOSE(CONTROL!$C$9, $C$13, 100%, $E$13) + CHOOSE(CONTROL!$C$28, 0.0294, 0)</f>
        <v>24.631999999999998</v>
      </c>
      <c r="C313" s="4">
        <f>24.2901 * CHOOSE(CONTROL!$C$9, $C$13, 100%, $E$13) + CHOOSE(CONTROL!$C$28, 0.0294, 0)</f>
        <v>24.319499999999998</v>
      </c>
      <c r="D313" s="4">
        <f>31.6622 * CHOOSE(CONTROL!$C$9, $C$13, 100%, $E$13) + CHOOSE(CONTROL!$C$28, 0, 0)</f>
        <v>31.662199999999999</v>
      </c>
      <c r="E313" s="4">
        <f>144.122918040756 * CHOOSE(CONTROL!$C$9, $C$13, 100%, $E$13) + CHOOSE(CONTROL!$C$28, 0, 0)</f>
        <v>144.12291804075599</v>
      </c>
    </row>
    <row r="314" spans="1:5" ht="15">
      <c r="A314" s="13">
        <v>51440</v>
      </c>
      <c r="B314" s="4">
        <f>23.8474 * CHOOSE(CONTROL!$C$9, $C$13, 100%, $E$13) + CHOOSE(CONTROL!$C$28, 0.0003, 0)</f>
        <v>23.8477</v>
      </c>
      <c r="C314" s="4">
        <f>23.5349 * CHOOSE(CONTROL!$C$9, $C$13, 100%, $E$13) + CHOOSE(CONTROL!$C$28, 0.0003, 0)</f>
        <v>23.5352</v>
      </c>
      <c r="D314" s="4">
        <f>31.2518 * CHOOSE(CONTROL!$C$9, $C$13, 100%, $E$13) + CHOOSE(CONTROL!$C$28, 0, 0)</f>
        <v>31.251799999999999</v>
      </c>
      <c r="E314" s="4">
        <f>139.33436801308 * CHOOSE(CONTROL!$C$9, $C$13, 100%, $E$13) + CHOOSE(CONTROL!$C$28, 0, 0)</f>
        <v>139.33436801308</v>
      </c>
    </row>
    <row r="315" spans="1:5" ht="15">
      <c r="A315" s="13">
        <v>51470</v>
      </c>
      <c r="B315" s="4">
        <f>23.3611 * CHOOSE(CONTROL!$C$9, $C$13, 100%, $E$13) + CHOOSE(CONTROL!$C$28, 0.0003, 0)</f>
        <v>23.3614</v>
      </c>
      <c r="C315" s="4">
        <f>23.0486 * CHOOSE(CONTROL!$C$9, $C$13, 100%, $E$13) + CHOOSE(CONTROL!$C$28, 0.0003, 0)</f>
        <v>23.0489</v>
      </c>
      <c r="D315" s="4">
        <f>31.1108 * CHOOSE(CONTROL!$C$9, $C$13, 100%, $E$13) + CHOOSE(CONTROL!$C$28, 0, 0)</f>
        <v>31.110800000000001</v>
      </c>
      <c r="E315" s="4">
        <f>136.250184208729 * CHOOSE(CONTROL!$C$9, $C$13, 100%, $E$13) + CHOOSE(CONTROL!$C$28, 0, 0)</f>
        <v>136.250184208729</v>
      </c>
    </row>
    <row r="316" spans="1:5" ht="15">
      <c r="A316" s="13">
        <v>51501</v>
      </c>
      <c r="B316" s="4">
        <f>23.0246 * CHOOSE(CONTROL!$C$9, $C$13, 100%, $E$13) + CHOOSE(CONTROL!$C$28, 0.0003, 0)</f>
        <v>23.024899999999999</v>
      </c>
      <c r="C316" s="4">
        <f>22.7121 * CHOOSE(CONTROL!$C$9, $C$13, 100%, $E$13) + CHOOSE(CONTROL!$C$28, 0.0003, 0)</f>
        <v>22.712399999999999</v>
      </c>
      <c r="D316" s="4">
        <f>30.0722 * CHOOSE(CONTROL!$C$9, $C$13, 100%, $E$13) + CHOOSE(CONTROL!$C$28, 0, 0)</f>
        <v>30.072199999999999</v>
      </c>
      <c r="E316" s="4">
        <f>134.116325470747 * CHOOSE(CONTROL!$C$9, $C$13, 100%, $E$13) + CHOOSE(CONTROL!$C$28, 0, 0)</f>
        <v>134.116325470747</v>
      </c>
    </row>
    <row r="317" spans="1:5" ht="15">
      <c r="A317" s="13">
        <v>51532</v>
      </c>
      <c r="B317" s="4">
        <f>22.4778 * CHOOSE(CONTROL!$C$9, $C$13, 100%, $E$13) + CHOOSE(CONTROL!$C$28, 0.0003, 0)</f>
        <v>22.478099999999998</v>
      </c>
      <c r="C317" s="4">
        <f>22.1653 * CHOOSE(CONTROL!$C$9, $C$13, 100%, $E$13) + CHOOSE(CONTROL!$C$28, 0.0003, 0)</f>
        <v>22.165599999999998</v>
      </c>
      <c r="D317" s="4">
        <f>29.1176 * CHOOSE(CONTROL!$C$9, $C$13, 100%, $E$13) + CHOOSE(CONTROL!$C$28, 0, 0)</f>
        <v>29.117599999999999</v>
      </c>
      <c r="E317" s="4">
        <f>130.270380332904 * CHOOSE(CONTROL!$C$9, $C$13, 100%, $E$13) + CHOOSE(CONTROL!$C$28, 0, 0)</f>
        <v>130.27038033290401</v>
      </c>
    </row>
    <row r="318" spans="1:5" ht="15">
      <c r="A318" s="13">
        <v>51560</v>
      </c>
      <c r="B318" s="4">
        <f>22.967 * CHOOSE(CONTROL!$C$9, $C$13, 100%, $E$13) + CHOOSE(CONTROL!$C$28, 0.0003, 0)</f>
        <v>22.967299999999998</v>
      </c>
      <c r="C318" s="4">
        <f>22.6545 * CHOOSE(CONTROL!$C$9, $C$13, 100%, $E$13) + CHOOSE(CONTROL!$C$28, 0.0003, 0)</f>
        <v>22.654799999999998</v>
      </c>
      <c r="D318" s="4">
        <f>30.0789 * CHOOSE(CONTROL!$C$9, $C$13, 100%, $E$13) + CHOOSE(CONTROL!$C$28, 0, 0)</f>
        <v>30.078900000000001</v>
      </c>
      <c r="E318" s="4">
        <f>133.363512545779 * CHOOSE(CONTROL!$C$9, $C$13, 100%, $E$13) + CHOOSE(CONTROL!$C$28, 0, 0)</f>
        <v>133.363512545779</v>
      </c>
    </row>
    <row r="319" spans="1:5" ht="15">
      <c r="A319" s="13">
        <v>51591</v>
      </c>
      <c r="B319" s="4">
        <f>24.2517 * CHOOSE(CONTROL!$C$9, $C$13, 100%, $E$13) + CHOOSE(CONTROL!$C$28, 0.0003, 0)</f>
        <v>24.251999999999999</v>
      </c>
      <c r="C319" s="4">
        <f>23.9392 * CHOOSE(CONTROL!$C$9, $C$13, 100%, $E$13) + CHOOSE(CONTROL!$C$28, 0.0003, 0)</f>
        <v>23.939499999999999</v>
      </c>
      <c r="D319" s="4">
        <f>31.5836 * CHOOSE(CONTROL!$C$9, $C$13, 100%, $E$13) + CHOOSE(CONTROL!$C$28, 0, 0)</f>
        <v>31.583600000000001</v>
      </c>
      <c r="E319" s="4">
        <f>141.486242115817 * CHOOSE(CONTROL!$C$9, $C$13, 100%, $E$13) + CHOOSE(CONTROL!$C$28, 0, 0)</f>
        <v>141.48624211581699</v>
      </c>
    </row>
    <row r="320" spans="1:5" ht="15">
      <c r="A320" s="13">
        <v>51621</v>
      </c>
      <c r="B320" s="4">
        <f>25.1644 * CHOOSE(CONTROL!$C$9, $C$13, 100%, $E$13) + CHOOSE(CONTROL!$C$28, 0.0003, 0)</f>
        <v>25.1647</v>
      </c>
      <c r="C320" s="4">
        <f>24.8519 * CHOOSE(CONTROL!$C$9, $C$13, 100%, $E$13) + CHOOSE(CONTROL!$C$28, 0.0003, 0)</f>
        <v>24.8522</v>
      </c>
      <c r="D320" s="4">
        <f>32.4504 * CHOOSE(CONTROL!$C$9, $C$13, 100%, $E$13) + CHOOSE(CONTROL!$C$28, 0, 0)</f>
        <v>32.450400000000002</v>
      </c>
      <c r="E320" s="4">
        <f>147.257549724934 * CHOOSE(CONTROL!$C$9, $C$13, 100%, $E$13) + CHOOSE(CONTROL!$C$28, 0, 0)</f>
        <v>147.25754972493399</v>
      </c>
    </row>
    <row r="321" spans="1:5" ht="15">
      <c r="A321" s="13">
        <v>51652</v>
      </c>
      <c r="B321" s="4">
        <f>25.7221 * CHOOSE(CONTROL!$C$9, $C$13, 100%, $E$13) + CHOOSE(CONTROL!$C$28, 0.0294, 0)</f>
        <v>25.7515</v>
      </c>
      <c r="C321" s="4">
        <f>25.4096 * CHOOSE(CONTROL!$C$9, $C$13, 100%, $E$13) + CHOOSE(CONTROL!$C$28, 0.0294, 0)</f>
        <v>25.439</v>
      </c>
      <c r="D321" s="4">
        <f>32.1079 * CHOOSE(CONTROL!$C$9, $C$13, 100%, $E$13) + CHOOSE(CONTROL!$C$28, 0, 0)</f>
        <v>32.107900000000001</v>
      </c>
      <c r="E321" s="4">
        <f>150.783680355165 * CHOOSE(CONTROL!$C$9, $C$13, 100%, $E$13) + CHOOSE(CONTROL!$C$28, 0, 0)</f>
        <v>150.78368035516499</v>
      </c>
    </row>
    <row r="322" spans="1:5" ht="15">
      <c r="A322" s="13">
        <v>51682</v>
      </c>
      <c r="B322" s="4">
        <f>25.7975 * CHOOSE(CONTROL!$C$9, $C$13, 100%, $E$13) + CHOOSE(CONTROL!$C$28, 0.0294, 0)</f>
        <v>25.826899999999998</v>
      </c>
      <c r="C322" s="4">
        <f>25.485 * CHOOSE(CONTROL!$C$9, $C$13, 100%, $E$13) + CHOOSE(CONTROL!$C$28, 0.0294, 0)</f>
        <v>25.514399999999998</v>
      </c>
      <c r="D322" s="4">
        <f>32.3868 * CHOOSE(CONTROL!$C$9, $C$13, 100%, $E$13) + CHOOSE(CONTROL!$C$28, 0, 0)</f>
        <v>32.386800000000001</v>
      </c>
      <c r="E322" s="4">
        <f>151.260780463178 * CHOOSE(CONTROL!$C$9, $C$13, 100%, $E$13) + CHOOSE(CONTROL!$C$28, 0, 0)</f>
        <v>151.26078046317801</v>
      </c>
    </row>
    <row r="323" spans="1:5" ht="15">
      <c r="A323" s="13">
        <v>51713</v>
      </c>
      <c r="B323" s="4">
        <f>25.7899 * CHOOSE(CONTROL!$C$9, $C$13, 100%, $E$13) + CHOOSE(CONTROL!$C$28, 0.0294, 0)</f>
        <v>25.819299999999998</v>
      </c>
      <c r="C323" s="4">
        <f>25.4774 * CHOOSE(CONTROL!$C$9, $C$13, 100%, $E$13) + CHOOSE(CONTROL!$C$28, 0.0294, 0)</f>
        <v>25.506799999999998</v>
      </c>
      <c r="D323" s="4">
        <f>32.8901 * CHOOSE(CONTROL!$C$9, $C$13, 100%, $E$13) + CHOOSE(CONTROL!$C$28, 0, 0)</f>
        <v>32.890099999999997</v>
      </c>
      <c r="E323" s="4">
        <f>151.212669527916 * CHOOSE(CONTROL!$C$9, $C$13, 100%, $E$13) + CHOOSE(CONTROL!$C$28, 0, 0)</f>
        <v>151.21266952791601</v>
      </c>
    </row>
    <row r="324" spans="1:5" ht="15">
      <c r="A324" s="13">
        <v>51744</v>
      </c>
      <c r="B324" s="4">
        <f>26.3625 * CHOOSE(CONTROL!$C$9, $C$13, 100%, $E$13) + CHOOSE(CONTROL!$C$28, 0.0294, 0)</f>
        <v>26.3919</v>
      </c>
      <c r="C324" s="4">
        <f>26.05 * CHOOSE(CONTROL!$C$9, $C$13, 100%, $E$13) + CHOOSE(CONTROL!$C$28, 0.0294, 0)</f>
        <v>26.0794</v>
      </c>
      <c r="D324" s="4">
        <f>32.5577 * CHOOSE(CONTROL!$C$9, $C$13, 100%, $E$13) + CHOOSE(CONTROL!$C$28, 0, 0)</f>
        <v>32.557699999999997</v>
      </c>
      <c r="E324" s="4">
        <f>154.833017406369 * CHOOSE(CONTROL!$C$9, $C$13, 100%, $E$13) + CHOOSE(CONTROL!$C$28, 0, 0)</f>
        <v>154.83301740636901</v>
      </c>
    </row>
    <row r="325" spans="1:5" ht="15">
      <c r="A325" s="13">
        <v>51774</v>
      </c>
      <c r="B325" s="4">
        <f>25.3867 * CHOOSE(CONTROL!$C$9, $C$13, 100%, $E$13) + CHOOSE(CONTROL!$C$28, 0.0294, 0)</f>
        <v>25.4161</v>
      </c>
      <c r="C325" s="4">
        <f>25.0742 * CHOOSE(CONTROL!$C$9, $C$13, 100%, $E$13) + CHOOSE(CONTROL!$C$28, 0.0294, 0)</f>
        <v>25.1036</v>
      </c>
      <c r="D325" s="4">
        <f>32.4007 * CHOOSE(CONTROL!$C$9, $C$13, 100%, $E$13) + CHOOSE(CONTROL!$C$28, 0, 0)</f>
        <v>32.400700000000001</v>
      </c>
      <c r="E325" s="4">
        <f>148.66278995904 * CHOOSE(CONTROL!$C$9, $C$13, 100%, $E$13) + CHOOSE(CONTROL!$C$28, 0, 0)</f>
        <v>148.66278995904</v>
      </c>
    </row>
    <row r="326" spans="1:5" ht="15">
      <c r="A326" s="13">
        <v>51805</v>
      </c>
      <c r="B326" s="4">
        <f>24.6055 * CHOOSE(CONTROL!$C$9, $C$13, 100%, $E$13) + CHOOSE(CONTROL!$C$28, 0.0003, 0)</f>
        <v>24.605799999999999</v>
      </c>
      <c r="C326" s="4">
        <f>24.293 * CHOOSE(CONTROL!$C$9, $C$13, 100%, $E$13) + CHOOSE(CONTROL!$C$28, 0.0003, 0)</f>
        <v>24.293299999999999</v>
      </c>
      <c r="D326" s="4">
        <f>31.9802 * CHOOSE(CONTROL!$C$9, $C$13, 100%, $E$13) + CHOOSE(CONTROL!$C$28, 0, 0)</f>
        <v>31.9802</v>
      </c>
      <c r="E326" s="4">
        <f>143.723400605492 * CHOOSE(CONTROL!$C$9, $C$13, 100%, $E$13) + CHOOSE(CONTROL!$C$28, 0, 0)</f>
        <v>143.723400605492</v>
      </c>
    </row>
    <row r="327" spans="1:5" ht="15">
      <c r="A327" s="13">
        <v>51835</v>
      </c>
      <c r="B327" s="4">
        <f>24.1023 * CHOOSE(CONTROL!$C$9, $C$13, 100%, $E$13) + CHOOSE(CONTROL!$C$28, 0.0003, 0)</f>
        <v>24.102599999999999</v>
      </c>
      <c r="C327" s="4">
        <f>23.7898 * CHOOSE(CONTROL!$C$9, $C$13, 100%, $E$13) + CHOOSE(CONTROL!$C$28, 0.0003, 0)</f>
        <v>23.790099999999999</v>
      </c>
      <c r="D327" s="4">
        <f>31.8356 * CHOOSE(CONTROL!$C$9, $C$13, 100%, $E$13) + CHOOSE(CONTROL!$C$28, 0, 0)</f>
        <v>31.835599999999999</v>
      </c>
      <c r="E327" s="4">
        <f>140.542065011304 * CHOOSE(CONTROL!$C$9, $C$13, 100%, $E$13) + CHOOSE(CONTROL!$C$28, 0, 0)</f>
        <v>140.542065011304</v>
      </c>
    </row>
    <row r="328" spans="1:5" ht="15">
      <c r="A328" s="13">
        <v>51866</v>
      </c>
      <c r="B328" s="4">
        <f>23.7542 * CHOOSE(CONTROL!$C$9, $C$13, 100%, $E$13) + CHOOSE(CONTROL!$C$28, 0.0003, 0)</f>
        <v>23.7545</v>
      </c>
      <c r="C328" s="4">
        <f>23.4417 * CHOOSE(CONTROL!$C$9, $C$13, 100%, $E$13) + CHOOSE(CONTROL!$C$28, 0.0003, 0)</f>
        <v>23.442</v>
      </c>
      <c r="D328" s="4">
        <f>30.7713 * CHOOSE(CONTROL!$C$9, $C$13, 100%, $E$13) + CHOOSE(CONTROL!$C$28, 0, 0)</f>
        <v>30.7713</v>
      </c>
      <c r="E328" s="4">
        <f>138.340989723075 * CHOOSE(CONTROL!$C$9, $C$13, 100%, $E$13) + CHOOSE(CONTROL!$C$28, 0, 0)</f>
        <v>138.34098972307501</v>
      </c>
    </row>
    <row r="329" spans="1:5" ht="15">
      <c r="A329" s="13">
        <v>51897</v>
      </c>
      <c r="B329" s="4">
        <f>23.1886 * CHOOSE(CONTROL!$C$9, $C$13, 100%, $E$13) + CHOOSE(CONTROL!$C$28, 0.0003, 0)</f>
        <v>23.1889</v>
      </c>
      <c r="C329" s="4">
        <f>22.8761 * CHOOSE(CONTROL!$C$9, $C$13, 100%, $E$13) + CHOOSE(CONTROL!$C$28, 0.0003, 0)</f>
        <v>22.8764</v>
      </c>
      <c r="D329" s="4">
        <f>29.7931 * CHOOSE(CONTROL!$C$9, $C$13, 100%, $E$13) + CHOOSE(CONTROL!$C$28, 0, 0)</f>
        <v>29.793099999999999</v>
      </c>
      <c r="E329" s="4">
        <f>134.373897313391 * CHOOSE(CONTROL!$C$9, $C$13, 100%, $E$13) + CHOOSE(CONTROL!$C$28, 0, 0)</f>
        <v>134.37389731339101</v>
      </c>
    </row>
    <row r="330" spans="1:5" ht="15">
      <c r="A330" s="13">
        <v>51925</v>
      </c>
      <c r="B330" s="4">
        <f>23.6947 * CHOOSE(CONTROL!$C$9, $C$13, 100%, $E$13) + CHOOSE(CONTROL!$C$28, 0.0003, 0)</f>
        <v>23.695</v>
      </c>
      <c r="C330" s="4">
        <f>23.3822 * CHOOSE(CONTROL!$C$9, $C$13, 100%, $E$13) + CHOOSE(CONTROL!$C$28, 0.0003, 0)</f>
        <v>23.3825</v>
      </c>
      <c r="D330" s="4">
        <f>30.7781 * CHOOSE(CONTROL!$C$9, $C$13, 100%, $E$13) + CHOOSE(CONTROL!$C$28, 0, 0)</f>
        <v>30.778099999999998</v>
      </c>
      <c r="E330" s="4">
        <f>137.564463190971 * CHOOSE(CONTROL!$C$9, $C$13, 100%, $E$13) + CHOOSE(CONTROL!$C$28, 0, 0)</f>
        <v>137.564463190971</v>
      </c>
    </row>
    <row r="331" spans="1:5" ht="15">
      <c r="A331" s="13">
        <v>51956</v>
      </c>
      <c r="B331" s="4">
        <f>25.0236 * CHOOSE(CONTROL!$C$9, $C$13, 100%, $E$13) + CHOOSE(CONTROL!$C$28, 0.0003, 0)</f>
        <v>25.023899999999998</v>
      </c>
      <c r="C331" s="4">
        <f>24.7111 * CHOOSE(CONTROL!$C$9, $C$13, 100%, $E$13) + CHOOSE(CONTROL!$C$28, 0.0003, 0)</f>
        <v>24.711399999999998</v>
      </c>
      <c r="D331" s="4">
        <f>32.3202 * CHOOSE(CONTROL!$C$9, $C$13, 100%, $E$13) + CHOOSE(CONTROL!$C$28, 0, 0)</f>
        <v>32.3202</v>
      </c>
      <c r="E331" s="4">
        <f>145.943058742466 * CHOOSE(CONTROL!$C$9, $C$13, 100%, $E$13) + CHOOSE(CONTROL!$C$28, 0, 0)</f>
        <v>145.94305874246601</v>
      </c>
    </row>
    <row r="332" spans="1:5" ht="15">
      <c r="A332" s="13">
        <v>51986</v>
      </c>
      <c r="B332" s="4">
        <f>25.9679 * CHOOSE(CONTROL!$C$9, $C$13, 100%, $E$13) + CHOOSE(CONTROL!$C$28, 0.0003, 0)</f>
        <v>25.9682</v>
      </c>
      <c r="C332" s="4">
        <f>25.6554 * CHOOSE(CONTROL!$C$9, $C$13, 100%, $E$13) + CHOOSE(CONTROL!$C$28, 0.0003, 0)</f>
        <v>25.6557</v>
      </c>
      <c r="D332" s="4">
        <f>33.2085 * CHOOSE(CONTROL!$C$9, $C$13, 100%, $E$13) + CHOOSE(CONTROL!$C$28, 0, 0)</f>
        <v>33.208500000000001</v>
      </c>
      <c r="E332" s="4">
        <f>151.896162541269 * CHOOSE(CONTROL!$C$9, $C$13, 100%, $E$13) + CHOOSE(CONTROL!$C$28, 0, 0)</f>
        <v>151.89616254126901</v>
      </c>
    </row>
    <row r="333" spans="1:5" ht="15">
      <c r="A333" s="13">
        <v>52017</v>
      </c>
      <c r="B333" s="4">
        <f>26.5448 * CHOOSE(CONTROL!$C$9, $C$13, 100%, $E$13) + CHOOSE(CONTROL!$C$28, 0.0294, 0)</f>
        <v>26.574199999999998</v>
      </c>
      <c r="C333" s="4">
        <f>26.2323 * CHOOSE(CONTROL!$C$9, $C$13, 100%, $E$13) + CHOOSE(CONTROL!$C$28, 0.0294, 0)</f>
        <v>26.261699999999998</v>
      </c>
      <c r="D333" s="4">
        <f>32.8575 * CHOOSE(CONTROL!$C$9, $C$13, 100%, $E$13) + CHOOSE(CONTROL!$C$28, 0, 0)</f>
        <v>32.857500000000002</v>
      </c>
      <c r="E333" s="4">
        <f>155.533366286353 * CHOOSE(CONTROL!$C$9, $C$13, 100%, $E$13) + CHOOSE(CONTROL!$C$28, 0, 0)</f>
        <v>155.53336628635299</v>
      </c>
    </row>
    <row r="334" spans="1:5" ht="15">
      <c r="A334" s="13">
        <v>52047</v>
      </c>
      <c r="B334" s="4">
        <f>26.6229 * CHOOSE(CONTROL!$C$9, $C$13, 100%, $E$13) + CHOOSE(CONTROL!$C$28, 0.0294, 0)</f>
        <v>26.6523</v>
      </c>
      <c r="C334" s="4">
        <f>26.3104 * CHOOSE(CONTROL!$C$9, $C$13, 100%, $E$13) + CHOOSE(CONTROL!$C$28, 0.0294, 0)</f>
        <v>26.3398</v>
      </c>
      <c r="D334" s="4">
        <f>33.1433 * CHOOSE(CONTROL!$C$9, $C$13, 100%, $E$13) + CHOOSE(CONTROL!$C$28, 0, 0)</f>
        <v>33.143300000000004</v>
      </c>
      <c r="E334" s="4">
        <f>156.025495047768 * CHOOSE(CONTROL!$C$9, $C$13, 100%, $E$13) + CHOOSE(CONTROL!$C$28, 0, 0)</f>
        <v>156.025495047768</v>
      </c>
    </row>
    <row r="335" spans="1:5" ht="15">
      <c r="A335" s="13">
        <v>52078</v>
      </c>
      <c r="B335" s="4">
        <f>26.615 * CHOOSE(CONTROL!$C$9, $C$13, 100%, $E$13) + CHOOSE(CONTROL!$C$28, 0.0294, 0)</f>
        <v>26.644399999999997</v>
      </c>
      <c r="C335" s="4">
        <f>26.3025 * CHOOSE(CONTROL!$C$9, $C$13, 100%, $E$13) + CHOOSE(CONTROL!$C$28, 0.0294, 0)</f>
        <v>26.331899999999997</v>
      </c>
      <c r="D335" s="4">
        <f>33.6591 * CHOOSE(CONTROL!$C$9, $C$13, 100%, $E$13) + CHOOSE(CONTROL!$C$28, 0, 0)</f>
        <v>33.659100000000002</v>
      </c>
      <c r="E335" s="4">
        <f>155.975868618046 * CHOOSE(CONTROL!$C$9, $C$13, 100%, $E$13) + CHOOSE(CONTROL!$C$28, 0, 0)</f>
        <v>155.97586861804601</v>
      </c>
    </row>
    <row r="336" spans="1:5" ht="15">
      <c r="A336" s="13">
        <v>52109</v>
      </c>
      <c r="B336" s="4">
        <f>27.2073 * CHOOSE(CONTROL!$C$9, $C$13, 100%, $E$13) + CHOOSE(CONTROL!$C$28, 0.0294, 0)</f>
        <v>27.236699999999999</v>
      </c>
      <c r="C336" s="4">
        <f>26.8948 * CHOOSE(CONTROL!$C$9, $C$13, 100%, $E$13) + CHOOSE(CONTROL!$C$28, 0.0294, 0)</f>
        <v>26.924199999999999</v>
      </c>
      <c r="D336" s="4">
        <f>33.3185 * CHOOSE(CONTROL!$C$9, $C$13, 100%, $E$13) + CHOOSE(CONTROL!$C$28, 0, 0)</f>
        <v>33.3185</v>
      </c>
      <c r="E336" s="4">
        <f>159.710257454669 * CHOOSE(CONTROL!$C$9, $C$13, 100%, $E$13) + CHOOSE(CONTROL!$C$28, 0, 0)</f>
        <v>159.71025745466901</v>
      </c>
    </row>
    <row r="337" spans="1:5" ht="15">
      <c r="A337" s="13">
        <v>52139</v>
      </c>
      <c r="B337" s="4">
        <f>26.1978 * CHOOSE(CONTROL!$C$9, $C$13, 100%, $E$13) + CHOOSE(CONTROL!$C$28, 0.0294, 0)</f>
        <v>26.2272</v>
      </c>
      <c r="C337" s="4">
        <f>25.8853 * CHOOSE(CONTROL!$C$9, $C$13, 100%, $E$13) + CHOOSE(CONTROL!$C$28, 0.0294, 0)</f>
        <v>25.9147</v>
      </c>
      <c r="D337" s="4">
        <f>33.1575 * CHOOSE(CONTROL!$C$9, $C$13, 100%, $E$13) + CHOOSE(CONTROL!$C$28, 0, 0)</f>
        <v>33.157499999999999</v>
      </c>
      <c r="E337" s="4">
        <f>153.345667842749 * CHOOSE(CONTROL!$C$9, $C$13, 100%, $E$13) + CHOOSE(CONTROL!$C$28, 0, 0)</f>
        <v>153.34566784274901</v>
      </c>
    </row>
    <row r="338" spans="1:5" ht="15">
      <c r="A338" s="13">
        <v>52170</v>
      </c>
      <c r="B338" s="4">
        <f>25.3897 * CHOOSE(CONTROL!$C$9, $C$13, 100%, $E$13) + CHOOSE(CONTROL!$C$28, 0.0003, 0)</f>
        <v>25.39</v>
      </c>
      <c r="C338" s="4">
        <f>25.0772 * CHOOSE(CONTROL!$C$9, $C$13, 100%, $E$13) + CHOOSE(CONTROL!$C$28, 0.0003, 0)</f>
        <v>25.077500000000001</v>
      </c>
      <c r="D338" s="4">
        <f>32.7266 * CHOOSE(CONTROL!$C$9, $C$13, 100%, $E$13) + CHOOSE(CONTROL!$C$28, 0, 0)</f>
        <v>32.726599999999998</v>
      </c>
      <c r="E338" s="4">
        <f>148.250687724565 * CHOOSE(CONTROL!$C$9, $C$13, 100%, $E$13) + CHOOSE(CONTROL!$C$28, 0, 0)</f>
        <v>148.25068772456501</v>
      </c>
    </row>
    <row r="339" spans="1:5" ht="15">
      <c r="A339" s="13">
        <v>52200</v>
      </c>
      <c r="B339" s="4">
        <f>24.8692 * CHOOSE(CONTROL!$C$9, $C$13, 100%, $E$13) + CHOOSE(CONTROL!$C$28, 0.0003, 0)</f>
        <v>24.869499999999999</v>
      </c>
      <c r="C339" s="4">
        <f>24.5567 * CHOOSE(CONTROL!$C$9, $C$13, 100%, $E$13) + CHOOSE(CONTROL!$C$28, 0.0003, 0)</f>
        <v>24.556999999999999</v>
      </c>
      <c r="D339" s="4">
        <f>32.5784 * CHOOSE(CONTROL!$C$9, $C$13, 100%, $E$13) + CHOOSE(CONTROL!$C$28, 0, 0)</f>
        <v>32.578400000000002</v>
      </c>
      <c r="E339" s="4">
        <f>144.96914005916 * CHOOSE(CONTROL!$C$9, $C$13, 100%, $E$13) + CHOOSE(CONTROL!$C$28, 0, 0)</f>
        <v>144.96914005916</v>
      </c>
    </row>
    <row r="340" spans="1:5" ht="15">
      <c r="A340" s="13">
        <v>52231</v>
      </c>
      <c r="B340" s="4">
        <f>24.5091 * CHOOSE(CONTROL!$C$9, $C$13, 100%, $E$13) + CHOOSE(CONTROL!$C$28, 0.0003, 0)</f>
        <v>24.509399999999999</v>
      </c>
      <c r="C340" s="4">
        <f>24.1966 * CHOOSE(CONTROL!$C$9, $C$13, 100%, $E$13) + CHOOSE(CONTROL!$C$28, 0.0003, 0)</f>
        <v>24.196899999999999</v>
      </c>
      <c r="D340" s="4">
        <f>31.4877 * CHOOSE(CONTROL!$C$9, $C$13, 100%, $E$13) + CHOOSE(CONTROL!$C$28, 0, 0)</f>
        <v>31.4877</v>
      </c>
      <c r="E340" s="4">
        <f>142.698730899352 * CHOOSE(CONTROL!$C$9, $C$13, 100%, $E$13) + CHOOSE(CONTROL!$C$28, 0, 0)</f>
        <v>142.698730899352</v>
      </c>
    </row>
    <row r="341" spans="1:5" ht="15">
      <c r="A341" s="13">
        <v>52262</v>
      </c>
      <c r="B341" s="4">
        <f>23.9239 * CHOOSE(CONTROL!$C$9, $C$13, 100%, $E$13) + CHOOSE(CONTROL!$C$28, 0.0003, 0)</f>
        <v>23.924199999999999</v>
      </c>
      <c r="C341" s="4">
        <f>23.6114 * CHOOSE(CONTROL!$C$9, $C$13, 100%, $E$13) + CHOOSE(CONTROL!$C$28, 0.0003, 0)</f>
        <v>23.611699999999999</v>
      </c>
      <c r="D341" s="4">
        <f>30.4853 * CHOOSE(CONTROL!$C$9, $C$13, 100%, $E$13) + CHOOSE(CONTROL!$C$28, 0, 0)</f>
        <v>30.485299999999999</v>
      </c>
      <c r="E341" s="4">
        <f>138.606675078763 * CHOOSE(CONTROL!$C$9, $C$13, 100%, $E$13) + CHOOSE(CONTROL!$C$28, 0, 0)</f>
        <v>138.606675078763</v>
      </c>
    </row>
    <row r="342" spans="1:5" ht="15">
      <c r="A342" s="13">
        <v>52290</v>
      </c>
      <c r="B342" s="4">
        <f>24.4475 * CHOOSE(CONTROL!$C$9, $C$13, 100%, $E$13) + CHOOSE(CONTROL!$C$28, 0.0003, 0)</f>
        <v>24.447800000000001</v>
      </c>
      <c r="C342" s="4">
        <f>24.135 * CHOOSE(CONTROL!$C$9, $C$13, 100%, $E$13) + CHOOSE(CONTROL!$C$28, 0.0003, 0)</f>
        <v>24.135300000000001</v>
      </c>
      <c r="D342" s="4">
        <f>31.4947 * CHOOSE(CONTROL!$C$9, $C$13, 100%, $E$13) + CHOOSE(CONTROL!$C$28, 0, 0)</f>
        <v>31.494700000000002</v>
      </c>
      <c r="E342" s="4">
        <f>141.897743781487 * CHOOSE(CONTROL!$C$9, $C$13, 100%, $E$13) + CHOOSE(CONTROL!$C$28, 0, 0)</f>
        <v>141.89774378148701</v>
      </c>
    </row>
    <row r="343" spans="1:5" ht="15">
      <c r="A343" s="13">
        <v>52321</v>
      </c>
      <c r="B343" s="4">
        <f>25.8223 * CHOOSE(CONTROL!$C$9, $C$13, 100%, $E$13) + CHOOSE(CONTROL!$C$28, 0.0003, 0)</f>
        <v>25.822599999999998</v>
      </c>
      <c r="C343" s="4">
        <f>25.5098 * CHOOSE(CONTROL!$C$9, $C$13, 100%, $E$13) + CHOOSE(CONTROL!$C$28, 0.0003, 0)</f>
        <v>25.510099999999998</v>
      </c>
      <c r="D343" s="4">
        <f>33.075 * CHOOSE(CONTROL!$C$9, $C$13, 100%, $E$13) + CHOOSE(CONTROL!$C$28, 0, 0)</f>
        <v>33.075000000000003</v>
      </c>
      <c r="E343" s="4">
        <f>150.540265092853 * CHOOSE(CONTROL!$C$9, $C$13, 100%, $E$13) + CHOOSE(CONTROL!$C$28, 0, 0)</f>
        <v>150.54026509285299</v>
      </c>
    </row>
    <row r="344" spans="1:5" ht="15">
      <c r="A344" s="13">
        <v>52351</v>
      </c>
      <c r="B344" s="4">
        <f>26.7991 * CHOOSE(CONTROL!$C$9, $C$13, 100%, $E$13) + CHOOSE(CONTROL!$C$28, 0.0003, 0)</f>
        <v>26.799399999999999</v>
      </c>
      <c r="C344" s="4">
        <f>26.4866 * CHOOSE(CONTROL!$C$9, $C$13, 100%, $E$13) + CHOOSE(CONTROL!$C$28, 0.0003, 0)</f>
        <v>26.486899999999999</v>
      </c>
      <c r="D344" s="4">
        <f>33.9853 * CHOOSE(CONTROL!$C$9, $C$13, 100%, $E$13) + CHOOSE(CONTROL!$C$28, 0, 0)</f>
        <v>33.985300000000002</v>
      </c>
      <c r="E344" s="4">
        <f>156.680891661319 * CHOOSE(CONTROL!$C$9, $C$13, 100%, $E$13) + CHOOSE(CONTROL!$C$28, 0, 0)</f>
        <v>156.68089166131901</v>
      </c>
    </row>
    <row r="345" spans="1:5" ht="15">
      <c r="A345" s="13">
        <v>52382</v>
      </c>
      <c r="B345" s="4">
        <f>27.3959 * CHOOSE(CONTROL!$C$9, $C$13, 100%, $E$13) + CHOOSE(CONTROL!$C$28, 0.0294, 0)</f>
        <v>27.4253</v>
      </c>
      <c r="C345" s="4">
        <f>27.0834 * CHOOSE(CONTROL!$C$9, $C$13, 100%, $E$13) + CHOOSE(CONTROL!$C$28, 0.0294, 0)</f>
        <v>27.1128</v>
      </c>
      <c r="D345" s="4">
        <f>33.6256 * CHOOSE(CONTROL!$C$9, $C$13, 100%, $E$13) + CHOOSE(CONTROL!$C$28, 0, 0)</f>
        <v>33.625599999999999</v>
      </c>
      <c r="E345" s="4">
        <f>160.432667324373 * CHOOSE(CONTROL!$C$9, $C$13, 100%, $E$13) + CHOOSE(CONTROL!$C$28, 0, 0)</f>
        <v>160.432667324373</v>
      </c>
    </row>
    <row r="346" spans="1:5" ht="15">
      <c r="A346" s="13">
        <v>52412</v>
      </c>
      <c r="B346" s="4">
        <f>27.4767 * CHOOSE(CONTROL!$C$9, $C$13, 100%, $E$13) + CHOOSE(CONTROL!$C$28, 0.0294, 0)</f>
        <v>27.5061</v>
      </c>
      <c r="C346" s="4">
        <f>27.1642 * CHOOSE(CONTROL!$C$9, $C$13, 100%, $E$13) + CHOOSE(CONTROL!$C$28, 0.0294, 0)</f>
        <v>27.1936</v>
      </c>
      <c r="D346" s="4">
        <f>33.9186 * CHOOSE(CONTROL!$C$9, $C$13, 100%, $E$13) + CHOOSE(CONTROL!$C$28, 0, 0)</f>
        <v>33.918599999999998</v>
      </c>
      <c r="E346" s="4">
        <f>160.940298141773 * CHOOSE(CONTROL!$C$9, $C$13, 100%, $E$13) + CHOOSE(CONTROL!$C$28, 0, 0)</f>
        <v>160.94029814177301</v>
      </c>
    </row>
    <row r="347" spans="1:5" ht="15">
      <c r="A347" s="13">
        <v>52443</v>
      </c>
      <c r="B347" s="4">
        <f>27.4685 * CHOOSE(CONTROL!$C$9, $C$13, 100%, $E$13) + CHOOSE(CONTROL!$C$28, 0.0294, 0)</f>
        <v>27.497899999999998</v>
      </c>
      <c r="C347" s="4">
        <f>27.156 * CHOOSE(CONTROL!$C$9, $C$13, 100%, $E$13) + CHOOSE(CONTROL!$C$28, 0.0294, 0)</f>
        <v>27.185399999999998</v>
      </c>
      <c r="D347" s="4">
        <f>34.4472 * CHOOSE(CONTROL!$C$9, $C$13, 100%, $E$13) + CHOOSE(CONTROL!$C$28, 0, 0)</f>
        <v>34.447200000000002</v>
      </c>
      <c r="E347" s="4">
        <f>160.889108479514 * CHOOSE(CONTROL!$C$9, $C$13, 100%, $E$13) + CHOOSE(CONTROL!$C$28, 0, 0)</f>
        <v>160.88910847951399</v>
      </c>
    </row>
    <row r="348" spans="1:5" ht="15">
      <c r="A348" s="13">
        <v>52474</v>
      </c>
      <c r="B348" s="4">
        <f>28.0813 * CHOOSE(CONTROL!$C$9, $C$13, 100%, $E$13) + CHOOSE(CONTROL!$C$28, 0.0294, 0)</f>
        <v>28.110699999999998</v>
      </c>
      <c r="C348" s="4">
        <f>27.7688 * CHOOSE(CONTROL!$C$9, $C$13, 100%, $E$13) + CHOOSE(CONTROL!$C$28, 0.0294, 0)</f>
        <v>27.798199999999998</v>
      </c>
      <c r="D348" s="4">
        <f>34.0981 * CHOOSE(CONTROL!$C$9, $C$13, 100%, $E$13) + CHOOSE(CONTROL!$C$28, 0, 0)</f>
        <v>34.098100000000002</v>
      </c>
      <c r="E348" s="4">
        <f>164.741130564491 * CHOOSE(CONTROL!$C$9, $C$13, 100%, $E$13) + CHOOSE(CONTROL!$C$28, 0, 0)</f>
        <v>164.74113056449099</v>
      </c>
    </row>
    <row r="349" spans="1:5" ht="15">
      <c r="A349" s="13">
        <v>52504</v>
      </c>
      <c r="B349" s="4">
        <f>27.0369 * CHOOSE(CONTROL!$C$9, $C$13, 100%, $E$13) + CHOOSE(CONTROL!$C$28, 0.0294, 0)</f>
        <v>27.066299999999998</v>
      </c>
      <c r="C349" s="4">
        <f>26.7244 * CHOOSE(CONTROL!$C$9, $C$13, 100%, $E$13) + CHOOSE(CONTROL!$C$28, 0.0294, 0)</f>
        <v>26.753799999999998</v>
      </c>
      <c r="D349" s="4">
        <f>33.9332 * CHOOSE(CONTROL!$C$9, $C$13, 100%, $E$13) + CHOOSE(CONTROL!$C$28, 0, 0)</f>
        <v>33.933199999999999</v>
      </c>
      <c r="E349" s="4">
        <f>158.176056379796 * CHOOSE(CONTROL!$C$9, $C$13, 100%, $E$13) + CHOOSE(CONTROL!$C$28, 0, 0)</f>
        <v>158.17605637979599</v>
      </c>
    </row>
    <row r="350" spans="1:5" ht="15">
      <c r="A350" s="13">
        <v>52535</v>
      </c>
      <c r="B350" s="4">
        <f>26.2009 * CHOOSE(CONTROL!$C$9, $C$13, 100%, $E$13) + CHOOSE(CONTROL!$C$28, 0.0003, 0)</f>
        <v>26.2012</v>
      </c>
      <c r="C350" s="4">
        <f>25.8884 * CHOOSE(CONTROL!$C$9, $C$13, 100%, $E$13) + CHOOSE(CONTROL!$C$28, 0.0003, 0)</f>
        <v>25.8887</v>
      </c>
      <c r="D350" s="4">
        <f>33.4915 * CHOOSE(CONTROL!$C$9, $C$13, 100%, $E$13) + CHOOSE(CONTROL!$C$28, 0, 0)</f>
        <v>33.491500000000002</v>
      </c>
      <c r="E350" s="4">
        <f>152.920584387889 * CHOOSE(CONTROL!$C$9, $C$13, 100%, $E$13) + CHOOSE(CONTROL!$C$28, 0, 0)</f>
        <v>152.92058438788899</v>
      </c>
    </row>
    <row r="351" spans="1:5" ht="15">
      <c r="A351" s="13">
        <v>52565</v>
      </c>
      <c r="B351" s="4">
        <f>25.6625 * CHOOSE(CONTROL!$C$9, $C$13, 100%, $E$13) + CHOOSE(CONTROL!$C$28, 0.0003, 0)</f>
        <v>25.662800000000001</v>
      </c>
      <c r="C351" s="4">
        <f>25.35 * CHOOSE(CONTROL!$C$9, $C$13, 100%, $E$13) + CHOOSE(CONTROL!$C$28, 0.0003, 0)</f>
        <v>25.350300000000001</v>
      </c>
      <c r="D351" s="4">
        <f>33.3397 * CHOOSE(CONTROL!$C$9, $C$13, 100%, $E$13) + CHOOSE(CONTROL!$C$28, 0, 0)</f>
        <v>33.339700000000001</v>
      </c>
      <c r="E351" s="4">
        <f>149.535667971024 * CHOOSE(CONTROL!$C$9, $C$13, 100%, $E$13) + CHOOSE(CONTROL!$C$28, 0, 0)</f>
        <v>149.535667971024</v>
      </c>
    </row>
    <row r="352" spans="1:5" ht="15">
      <c r="A352" s="13">
        <v>52596</v>
      </c>
      <c r="B352" s="4">
        <f>25.2899 * CHOOSE(CONTROL!$C$9, $C$13, 100%, $E$13) + CHOOSE(CONTROL!$C$28, 0.0003, 0)</f>
        <v>25.290199999999999</v>
      </c>
      <c r="C352" s="4">
        <f>24.9774 * CHOOSE(CONTROL!$C$9, $C$13, 100%, $E$13) + CHOOSE(CONTROL!$C$28, 0.0003, 0)</f>
        <v>24.977699999999999</v>
      </c>
      <c r="D352" s="4">
        <f>32.2219 * CHOOSE(CONTROL!$C$9, $C$13, 100%, $E$13) + CHOOSE(CONTROL!$C$28, 0, 0)</f>
        <v>32.221899999999998</v>
      </c>
      <c r="E352" s="4">
        <f>147.193740922682 * CHOOSE(CONTROL!$C$9, $C$13, 100%, $E$13) + CHOOSE(CONTROL!$C$28, 0, 0)</f>
        <v>147.193740922682</v>
      </c>
    </row>
    <row r="353" spans="1:5" ht="15">
      <c r="A353" s="13">
        <v>52627</v>
      </c>
      <c r="B353" s="4">
        <f>24.6846 * CHOOSE(CONTROL!$C$9, $C$13, 100%, $E$13) + CHOOSE(CONTROL!$C$28, 0.0003, 0)</f>
        <v>24.684899999999999</v>
      </c>
      <c r="C353" s="4">
        <f>24.3721 * CHOOSE(CONTROL!$C$9, $C$13, 100%, $E$13) + CHOOSE(CONTROL!$C$28, 0.0003, 0)</f>
        <v>24.372399999999999</v>
      </c>
      <c r="D353" s="4">
        <f>31.1946 * CHOOSE(CONTROL!$C$9, $C$13, 100%, $E$13) + CHOOSE(CONTROL!$C$28, 0, 0)</f>
        <v>31.194600000000001</v>
      </c>
      <c r="E353" s="4">
        <f>142.972785343744 * CHOOSE(CONTROL!$C$9, $C$13, 100%, $E$13) + CHOOSE(CONTROL!$C$28, 0, 0)</f>
        <v>142.97278534374399</v>
      </c>
    </row>
    <row r="354" spans="1:5" ht="15">
      <c r="A354" s="13">
        <v>52655</v>
      </c>
      <c r="B354" s="4">
        <f>25.2262 * CHOOSE(CONTROL!$C$9, $C$13, 100%, $E$13) + CHOOSE(CONTROL!$C$28, 0.0003, 0)</f>
        <v>25.226499999999998</v>
      </c>
      <c r="C354" s="4">
        <f>24.9137 * CHOOSE(CONTROL!$C$9, $C$13, 100%, $E$13) + CHOOSE(CONTROL!$C$28, 0.0003, 0)</f>
        <v>24.913999999999998</v>
      </c>
      <c r="D354" s="4">
        <f>32.2291 * CHOOSE(CONTROL!$C$9, $C$13, 100%, $E$13) + CHOOSE(CONTROL!$C$28, 0, 0)</f>
        <v>32.229100000000003</v>
      </c>
      <c r="E354" s="4">
        <f>146.367522710604 * CHOOSE(CONTROL!$C$9, $C$13, 100%, $E$13) + CHOOSE(CONTROL!$C$28, 0, 0)</f>
        <v>146.36752271060399</v>
      </c>
    </row>
    <row r="355" spans="1:5" ht="15">
      <c r="A355" s="13">
        <v>52687</v>
      </c>
      <c r="B355" s="4">
        <f>26.6485 * CHOOSE(CONTROL!$C$9, $C$13, 100%, $E$13) + CHOOSE(CONTROL!$C$28, 0.0003, 0)</f>
        <v>26.648799999999998</v>
      </c>
      <c r="C355" s="4">
        <f>26.336 * CHOOSE(CONTROL!$C$9, $C$13, 100%, $E$13) + CHOOSE(CONTROL!$C$28, 0.0003, 0)</f>
        <v>26.336299999999998</v>
      </c>
      <c r="D355" s="4">
        <f>33.8486 * CHOOSE(CONTROL!$C$9, $C$13, 100%, $E$13) + CHOOSE(CONTROL!$C$28, 0, 0)</f>
        <v>33.848599999999998</v>
      </c>
      <c r="E355" s="4">
        <f>155.282283443278 * CHOOSE(CONTROL!$C$9, $C$13, 100%, $E$13) + CHOOSE(CONTROL!$C$28, 0, 0)</f>
        <v>155.282283443278</v>
      </c>
    </row>
    <row r="356" spans="1:5" ht="15">
      <c r="A356" s="13">
        <v>52717</v>
      </c>
      <c r="B356" s="4">
        <f>27.659 * CHOOSE(CONTROL!$C$9, $C$13, 100%, $E$13) + CHOOSE(CONTROL!$C$28, 0.0003, 0)</f>
        <v>27.659299999999998</v>
      </c>
      <c r="C356" s="4">
        <f>27.3465 * CHOOSE(CONTROL!$C$9, $C$13, 100%, $E$13) + CHOOSE(CONTROL!$C$28, 0.0003, 0)</f>
        <v>27.346799999999998</v>
      </c>
      <c r="D356" s="4">
        <f>34.7815 * CHOOSE(CONTROL!$C$9, $C$13, 100%, $E$13) + CHOOSE(CONTROL!$C$28, 0, 0)</f>
        <v>34.781500000000001</v>
      </c>
      <c r="E356" s="4">
        <f>161.616339748651 * CHOOSE(CONTROL!$C$9, $C$13, 100%, $E$13) + CHOOSE(CONTROL!$C$28, 0, 0)</f>
        <v>161.616339748651</v>
      </c>
    </row>
    <row r="357" spans="1:5" ht="15">
      <c r="A357" s="13">
        <v>52748</v>
      </c>
      <c r="B357" s="4">
        <f>28.2764 * CHOOSE(CONTROL!$C$9, $C$13, 100%, $E$13) + CHOOSE(CONTROL!$C$28, 0.0294, 0)</f>
        <v>28.305799999999998</v>
      </c>
      <c r="C357" s="4">
        <f>27.9639 * CHOOSE(CONTROL!$C$9, $C$13, 100%, $E$13) + CHOOSE(CONTROL!$C$28, 0.0294, 0)</f>
        <v>27.993299999999998</v>
      </c>
      <c r="D357" s="4">
        <f>34.4129 * CHOOSE(CONTROL!$C$9, $C$13, 100%, $E$13) + CHOOSE(CONTROL!$C$28, 0, 0)</f>
        <v>34.4129</v>
      </c>
      <c r="E357" s="4">
        <f>165.486296345091 * CHOOSE(CONTROL!$C$9, $C$13, 100%, $E$13) + CHOOSE(CONTROL!$C$28, 0, 0)</f>
        <v>165.48629634509101</v>
      </c>
    </row>
    <row r="358" spans="1:5" ht="15">
      <c r="A358" s="13">
        <v>52778</v>
      </c>
      <c r="B358" s="4">
        <f>28.3599 * CHOOSE(CONTROL!$C$9, $C$13, 100%, $E$13) + CHOOSE(CONTROL!$C$28, 0.0294, 0)</f>
        <v>28.389299999999999</v>
      </c>
      <c r="C358" s="4">
        <f>28.0474 * CHOOSE(CONTROL!$C$9, $C$13, 100%, $E$13) + CHOOSE(CONTROL!$C$28, 0.0294, 0)</f>
        <v>28.076799999999999</v>
      </c>
      <c r="D358" s="4">
        <f>34.7131 * CHOOSE(CONTROL!$C$9, $C$13, 100%, $E$13) + CHOOSE(CONTROL!$C$28, 0, 0)</f>
        <v>34.713099999999997</v>
      </c>
      <c r="E358" s="4">
        <f>166.009917533239 * CHOOSE(CONTROL!$C$9, $C$13, 100%, $E$13) + CHOOSE(CONTROL!$C$28, 0, 0)</f>
        <v>166.00991753323899</v>
      </c>
    </row>
    <row r="359" spans="1:5" ht="15">
      <c r="A359" s="13">
        <v>52809</v>
      </c>
      <c r="B359" s="4">
        <f>28.3515 * CHOOSE(CONTROL!$C$9, $C$13, 100%, $E$13) + CHOOSE(CONTROL!$C$28, 0.0294, 0)</f>
        <v>28.3809</v>
      </c>
      <c r="C359" s="4">
        <f>28.039 * CHOOSE(CONTROL!$C$9, $C$13, 100%, $E$13) + CHOOSE(CONTROL!$C$28, 0.0294, 0)</f>
        <v>28.0684</v>
      </c>
      <c r="D359" s="4">
        <f>35.2548 * CHOOSE(CONTROL!$C$9, $C$13, 100%, $E$13) + CHOOSE(CONTROL!$C$28, 0, 0)</f>
        <v>35.254800000000003</v>
      </c>
      <c r="E359" s="4">
        <f>165.957115396619 * CHOOSE(CONTROL!$C$9, $C$13, 100%, $E$13) + CHOOSE(CONTROL!$C$28, 0, 0)</f>
        <v>165.957115396619</v>
      </c>
    </row>
    <row r="360" spans="1:5" ht="15">
      <c r="A360" s="13">
        <v>52840</v>
      </c>
      <c r="B360" s="4">
        <f>28.9854 * CHOOSE(CONTROL!$C$9, $C$13, 100%, $E$13) + CHOOSE(CONTROL!$C$28, 0.0294, 0)</f>
        <v>29.014799999999997</v>
      </c>
      <c r="C360" s="4">
        <f>28.6729 * CHOOSE(CONTROL!$C$9, $C$13, 100%, $E$13) + CHOOSE(CONTROL!$C$28, 0.0294, 0)</f>
        <v>28.702299999999997</v>
      </c>
      <c r="D360" s="4">
        <f>34.897 * CHOOSE(CONTROL!$C$9, $C$13, 100%, $E$13) + CHOOSE(CONTROL!$C$28, 0, 0)</f>
        <v>34.896999999999998</v>
      </c>
      <c r="E360" s="4">
        <f>169.930476177273 * CHOOSE(CONTROL!$C$9, $C$13, 100%, $E$13) + CHOOSE(CONTROL!$C$28, 0, 0)</f>
        <v>169.93047617727299</v>
      </c>
    </row>
    <row r="361" spans="1:5" ht="15">
      <c r="A361" s="13">
        <v>52870</v>
      </c>
      <c r="B361" s="4">
        <f>27.905 * CHOOSE(CONTROL!$C$9, $C$13, 100%, $E$13) + CHOOSE(CONTROL!$C$28, 0.0294, 0)</f>
        <v>27.9344</v>
      </c>
      <c r="C361" s="4">
        <f>27.5925 * CHOOSE(CONTROL!$C$9, $C$13, 100%, $E$13) + CHOOSE(CONTROL!$C$28, 0.0294, 0)</f>
        <v>27.6219</v>
      </c>
      <c r="D361" s="4">
        <f>34.728 * CHOOSE(CONTROL!$C$9, $C$13, 100%, $E$13) + CHOOSE(CONTROL!$C$28, 0, 0)</f>
        <v>34.728000000000002</v>
      </c>
      <c r="E361" s="4">
        <f>163.15860215576 * CHOOSE(CONTROL!$C$9, $C$13, 100%, $E$13) + CHOOSE(CONTROL!$C$28, 0, 0)</f>
        <v>163.15860215576001</v>
      </c>
    </row>
    <row r="362" spans="1:5" ht="15">
      <c r="A362" s="13">
        <v>52901</v>
      </c>
      <c r="B362" s="4">
        <f>27.0402 * CHOOSE(CONTROL!$C$9, $C$13, 100%, $E$13) + CHOOSE(CONTROL!$C$28, 0.0003, 0)</f>
        <v>27.040499999999998</v>
      </c>
      <c r="C362" s="4">
        <f>26.7277 * CHOOSE(CONTROL!$C$9, $C$13, 100%, $E$13) + CHOOSE(CONTROL!$C$28, 0.0003, 0)</f>
        <v>26.727999999999998</v>
      </c>
      <c r="D362" s="4">
        <f>34.2754 * CHOOSE(CONTROL!$C$9, $C$13, 100%, $E$13) + CHOOSE(CONTROL!$C$28, 0, 0)</f>
        <v>34.275399999999998</v>
      </c>
      <c r="E362" s="4">
        <f>157.737582796107 * CHOOSE(CONTROL!$C$9, $C$13, 100%, $E$13) + CHOOSE(CONTROL!$C$28, 0, 0)</f>
        <v>157.73758279610701</v>
      </c>
    </row>
    <row r="363" spans="1:5" ht="15">
      <c r="A363" s="13">
        <v>52931</v>
      </c>
      <c r="B363" s="4">
        <f>26.4831 * CHOOSE(CONTROL!$C$9, $C$13, 100%, $E$13) + CHOOSE(CONTROL!$C$28, 0.0003, 0)</f>
        <v>26.4834</v>
      </c>
      <c r="C363" s="4">
        <f>26.1706 * CHOOSE(CONTROL!$C$9, $C$13, 100%, $E$13) + CHOOSE(CONTROL!$C$28, 0.0003, 0)</f>
        <v>26.1709</v>
      </c>
      <c r="D363" s="4">
        <f>34.1198 * CHOOSE(CONTROL!$C$9, $C$13, 100%, $E$13) + CHOOSE(CONTROL!$C$28, 0, 0)</f>
        <v>34.119799999999998</v>
      </c>
      <c r="E363" s="4">
        <f>154.246041512111 * CHOOSE(CONTROL!$C$9, $C$13, 100%, $E$13) + CHOOSE(CONTROL!$C$28, 0, 0)</f>
        <v>154.24604151211099</v>
      </c>
    </row>
    <row r="364" spans="1:5" ht="15">
      <c r="A364" s="13">
        <v>52962</v>
      </c>
      <c r="B364" s="4">
        <f>26.0977 * CHOOSE(CONTROL!$C$9, $C$13, 100%, $E$13) + CHOOSE(CONTROL!$C$28, 0.0003, 0)</f>
        <v>26.097999999999999</v>
      </c>
      <c r="C364" s="4">
        <f>25.7852 * CHOOSE(CONTROL!$C$9, $C$13, 100%, $E$13) + CHOOSE(CONTROL!$C$28, 0.0003, 0)</f>
        <v>25.785499999999999</v>
      </c>
      <c r="D364" s="4">
        <f>32.9743 * CHOOSE(CONTROL!$C$9, $C$13, 100%, $E$13) + CHOOSE(CONTROL!$C$28, 0, 0)</f>
        <v>32.974299999999999</v>
      </c>
      <c r="E364" s="4">
        <f>151.830343761746 * CHOOSE(CONTROL!$C$9, $C$13, 100%, $E$13) + CHOOSE(CONTROL!$C$28, 0, 0)</f>
        <v>151.83034376174601</v>
      </c>
    </row>
    <row r="365" spans="1:5" ht="15">
      <c r="A365" s="13">
        <v>52993</v>
      </c>
      <c r="B365" s="4">
        <f>25.4716 * CHOOSE(CONTROL!$C$9, $C$13, 100%, $E$13) + CHOOSE(CONTROL!$C$28, 0.0003, 0)</f>
        <v>25.471899999999998</v>
      </c>
      <c r="C365" s="4">
        <f>25.1591 * CHOOSE(CONTROL!$C$9, $C$13, 100%, $E$13) + CHOOSE(CONTROL!$C$28, 0.0003, 0)</f>
        <v>25.159399999999998</v>
      </c>
      <c r="D365" s="4">
        <f>31.9215 * CHOOSE(CONTROL!$C$9, $C$13, 100%, $E$13) + CHOOSE(CONTROL!$C$28, 0, 0)</f>
        <v>31.921500000000002</v>
      </c>
      <c r="E365" s="4">
        <f>147.476428082072 * CHOOSE(CONTROL!$C$9, $C$13, 100%, $E$13) + CHOOSE(CONTROL!$C$28, 0, 0)</f>
        <v>147.476428082072</v>
      </c>
    </row>
    <row r="366" spans="1:5" ht="15">
      <c r="A366" s="13">
        <v>53021</v>
      </c>
      <c r="B366" s="4">
        <f>26.0318 * CHOOSE(CONTROL!$C$9, $C$13, 100%, $E$13) + CHOOSE(CONTROL!$C$28, 0.0003, 0)</f>
        <v>26.0321</v>
      </c>
      <c r="C366" s="4">
        <f>25.7193 * CHOOSE(CONTROL!$C$9, $C$13, 100%, $E$13) + CHOOSE(CONTROL!$C$28, 0.0003, 0)</f>
        <v>25.7196</v>
      </c>
      <c r="D366" s="4">
        <f>32.9817 * CHOOSE(CONTROL!$C$9, $C$13, 100%, $E$13) + CHOOSE(CONTROL!$C$28, 0, 0)</f>
        <v>32.981699999999996</v>
      </c>
      <c r="E366" s="4">
        <f>150.978099675988 * CHOOSE(CONTROL!$C$9, $C$13, 100%, $E$13) + CHOOSE(CONTROL!$C$28, 0, 0)</f>
        <v>150.97809967598801</v>
      </c>
    </row>
    <row r="367" spans="1:5" ht="15">
      <c r="A367" s="13">
        <v>53052</v>
      </c>
      <c r="B367" s="4">
        <f>27.5031 * CHOOSE(CONTROL!$C$9, $C$13, 100%, $E$13) + CHOOSE(CONTROL!$C$28, 0.0003, 0)</f>
        <v>27.503399999999999</v>
      </c>
      <c r="C367" s="4">
        <f>27.1906 * CHOOSE(CONTROL!$C$9, $C$13, 100%, $E$13) + CHOOSE(CONTROL!$C$28, 0.0003, 0)</f>
        <v>27.190899999999999</v>
      </c>
      <c r="D367" s="4">
        <f>34.6414 * CHOOSE(CONTROL!$C$9, $C$13, 100%, $E$13) + CHOOSE(CONTROL!$C$28, 0, 0)</f>
        <v>34.641399999999997</v>
      </c>
      <c r="E367" s="4">
        <f>160.173675371741 * CHOOSE(CONTROL!$C$9, $C$13, 100%, $E$13) + CHOOSE(CONTROL!$C$28, 0, 0)</f>
        <v>160.17367537174101</v>
      </c>
    </row>
    <row r="368" spans="1:5" ht="15">
      <c r="A368" s="13">
        <v>53082</v>
      </c>
      <c r="B368" s="4">
        <f>28.5485 * CHOOSE(CONTROL!$C$9, $C$13, 100%, $E$13) + CHOOSE(CONTROL!$C$28, 0.0003, 0)</f>
        <v>28.5488</v>
      </c>
      <c r="C368" s="4">
        <f>28.236 * CHOOSE(CONTROL!$C$9, $C$13, 100%, $E$13) + CHOOSE(CONTROL!$C$28, 0.0003, 0)</f>
        <v>28.2363</v>
      </c>
      <c r="D368" s="4">
        <f>35.5974 * CHOOSE(CONTROL!$C$9, $C$13, 100%, $E$13) + CHOOSE(CONTROL!$C$28, 0, 0)</f>
        <v>35.5974</v>
      </c>
      <c r="E368" s="4">
        <f>166.707254450733 * CHOOSE(CONTROL!$C$9, $C$13, 100%, $E$13) + CHOOSE(CONTROL!$C$28, 0, 0)</f>
        <v>166.70725445073299</v>
      </c>
    </row>
    <row r="369" spans="1:5" ht="15">
      <c r="A369" s="13">
        <v>53113</v>
      </c>
      <c r="B369" s="4">
        <f>29.1872 * CHOOSE(CONTROL!$C$9, $C$13, 100%, $E$13) + CHOOSE(CONTROL!$C$28, 0.0294, 0)</f>
        <v>29.2166</v>
      </c>
      <c r="C369" s="4">
        <f>28.8747 * CHOOSE(CONTROL!$C$9, $C$13, 100%, $E$13) + CHOOSE(CONTROL!$C$28, 0.0294, 0)</f>
        <v>28.9041</v>
      </c>
      <c r="D369" s="4">
        <f>35.2196 * CHOOSE(CONTROL!$C$9, $C$13, 100%, $E$13) + CHOOSE(CONTROL!$C$28, 0, 0)</f>
        <v>35.2196</v>
      </c>
      <c r="E369" s="4">
        <f>170.699114679961 * CHOOSE(CONTROL!$C$9, $C$13, 100%, $E$13) + CHOOSE(CONTROL!$C$28, 0, 0)</f>
        <v>170.69911467996101</v>
      </c>
    </row>
    <row r="370" spans="1:5" ht="15">
      <c r="A370" s="13">
        <v>53143</v>
      </c>
      <c r="B370" s="4">
        <f>29.2737 * CHOOSE(CONTROL!$C$9, $C$13, 100%, $E$13) + CHOOSE(CONTROL!$C$28, 0.0294, 0)</f>
        <v>29.303100000000001</v>
      </c>
      <c r="C370" s="4">
        <f>28.9612 * CHOOSE(CONTROL!$C$9, $C$13, 100%, $E$13) + CHOOSE(CONTROL!$C$28, 0.0294, 0)</f>
        <v>28.990600000000001</v>
      </c>
      <c r="D370" s="4">
        <f>35.5273 * CHOOSE(CONTROL!$C$9, $C$13, 100%, $E$13) + CHOOSE(CONTROL!$C$28, 0, 0)</f>
        <v>35.527299999999997</v>
      </c>
      <c r="E370" s="4">
        <f>171.239229935536 * CHOOSE(CONTROL!$C$9, $C$13, 100%, $E$13) + CHOOSE(CONTROL!$C$28, 0, 0)</f>
        <v>171.239229935536</v>
      </c>
    </row>
    <row r="371" spans="1:5" ht="15">
      <c r="A371" s="13">
        <v>53174</v>
      </c>
      <c r="B371" s="4">
        <f>29.2649 * CHOOSE(CONTROL!$C$9, $C$13, 100%, $E$13) + CHOOSE(CONTROL!$C$28, 0.0294, 0)</f>
        <v>29.2943</v>
      </c>
      <c r="C371" s="4">
        <f>28.9524 * CHOOSE(CONTROL!$C$9, $C$13, 100%, $E$13) + CHOOSE(CONTROL!$C$28, 0.0294, 0)</f>
        <v>28.9818</v>
      </c>
      <c r="D371" s="4">
        <f>36.0824 * CHOOSE(CONTROL!$C$9, $C$13, 100%, $E$13) + CHOOSE(CONTROL!$C$28, 0, 0)</f>
        <v>36.0824</v>
      </c>
      <c r="E371" s="4">
        <f>171.184764531612 * CHOOSE(CONTROL!$C$9, $C$13, 100%, $E$13) + CHOOSE(CONTROL!$C$28, 0, 0)</f>
        <v>171.18476453161199</v>
      </c>
    </row>
    <row r="372" spans="1:5" ht="15">
      <c r="A372" s="13">
        <v>53205</v>
      </c>
      <c r="B372" s="4">
        <f>29.9207 * CHOOSE(CONTROL!$C$9, $C$13, 100%, $E$13) + CHOOSE(CONTROL!$C$28, 0.0294, 0)</f>
        <v>29.950099999999999</v>
      </c>
      <c r="C372" s="4">
        <f>29.6082 * CHOOSE(CONTROL!$C$9, $C$13, 100%, $E$13) + CHOOSE(CONTROL!$C$28, 0.0294, 0)</f>
        <v>29.637599999999999</v>
      </c>
      <c r="D372" s="4">
        <f>35.7158 * CHOOSE(CONTROL!$C$9, $C$13, 100%, $E$13) + CHOOSE(CONTROL!$C$28, 0, 0)</f>
        <v>35.715800000000002</v>
      </c>
      <c r="E372" s="4">
        <f>175.283286176857 * CHOOSE(CONTROL!$C$9, $C$13, 100%, $E$13) + CHOOSE(CONTROL!$C$28, 0, 0)</f>
        <v>175.28328617685699</v>
      </c>
    </row>
    <row r="373" spans="1:5" ht="15">
      <c r="A373" s="13">
        <v>53235</v>
      </c>
      <c r="B373" s="4">
        <f>28.8031 * CHOOSE(CONTROL!$C$9, $C$13, 100%, $E$13) + CHOOSE(CONTROL!$C$28, 0.0294, 0)</f>
        <v>28.8325</v>
      </c>
      <c r="C373" s="4">
        <f>28.4906 * CHOOSE(CONTROL!$C$9, $C$13, 100%, $E$13) + CHOOSE(CONTROL!$C$28, 0.0294, 0)</f>
        <v>28.52</v>
      </c>
      <c r="D373" s="4">
        <f>35.5426 * CHOOSE(CONTROL!$C$9, $C$13, 100%, $E$13) + CHOOSE(CONTROL!$C$28, 0, 0)</f>
        <v>35.5426</v>
      </c>
      <c r="E373" s="4">
        <f>168.298098123666 * CHOOSE(CONTROL!$C$9, $C$13, 100%, $E$13) + CHOOSE(CONTROL!$C$28, 0, 0)</f>
        <v>168.29809812366599</v>
      </c>
    </row>
    <row r="374" spans="1:5" ht="15">
      <c r="A374" s="13">
        <v>53266</v>
      </c>
      <c r="B374" s="4">
        <f>27.9084 * CHOOSE(CONTROL!$C$9, $C$13, 100%, $E$13) + CHOOSE(CONTROL!$C$28, 0.0003, 0)</f>
        <v>27.9087</v>
      </c>
      <c r="C374" s="4">
        <f>27.5959 * CHOOSE(CONTROL!$C$9, $C$13, 100%, $E$13) + CHOOSE(CONTROL!$C$28, 0.0003, 0)</f>
        <v>27.5962</v>
      </c>
      <c r="D374" s="4">
        <f>35.0788 * CHOOSE(CONTROL!$C$9, $C$13, 100%, $E$13) + CHOOSE(CONTROL!$C$28, 0, 0)</f>
        <v>35.078800000000001</v>
      </c>
      <c r="E374" s="4">
        <f>162.706316654185 * CHOOSE(CONTROL!$C$9, $C$13, 100%, $E$13) + CHOOSE(CONTROL!$C$28, 0, 0)</f>
        <v>162.706316654185</v>
      </c>
    </row>
    <row r="375" spans="1:5" ht="15">
      <c r="A375" s="13">
        <v>53296</v>
      </c>
      <c r="B375" s="4">
        <f>27.3321 * CHOOSE(CONTROL!$C$9, $C$13, 100%, $E$13) + CHOOSE(CONTROL!$C$28, 0.0003, 0)</f>
        <v>27.3324</v>
      </c>
      <c r="C375" s="4">
        <f>27.0196 * CHOOSE(CONTROL!$C$9, $C$13, 100%, $E$13) + CHOOSE(CONTROL!$C$28, 0.0003, 0)</f>
        <v>27.0199</v>
      </c>
      <c r="D375" s="4">
        <f>34.9193 * CHOOSE(CONTROL!$C$9, $C$13, 100%, $E$13) + CHOOSE(CONTROL!$C$28, 0, 0)</f>
        <v>34.9193</v>
      </c>
      <c r="E375" s="4">
        <f>159.104791819742 * CHOOSE(CONTROL!$C$9, $C$13, 100%, $E$13) + CHOOSE(CONTROL!$C$28, 0, 0)</f>
        <v>159.10479181974199</v>
      </c>
    </row>
    <row r="376" spans="1:5" ht="15">
      <c r="A376" s="13">
        <v>53327</v>
      </c>
      <c r="B376" s="4">
        <f>26.9334 * CHOOSE(CONTROL!$C$9, $C$13, 100%, $E$13) + CHOOSE(CONTROL!$C$28, 0.0003, 0)</f>
        <v>26.933699999999998</v>
      </c>
      <c r="C376" s="4">
        <f>26.6209 * CHOOSE(CONTROL!$C$9, $C$13, 100%, $E$13) + CHOOSE(CONTROL!$C$28, 0.0003, 0)</f>
        <v>26.621199999999998</v>
      </c>
      <c r="D376" s="4">
        <f>33.7454 * CHOOSE(CONTROL!$C$9, $C$13, 100%, $E$13) + CHOOSE(CONTROL!$C$28, 0, 0)</f>
        <v>33.745399999999997</v>
      </c>
      <c r="E376" s="4">
        <f>156.612999590241 * CHOOSE(CONTROL!$C$9, $C$13, 100%, $E$13) + CHOOSE(CONTROL!$C$28, 0, 0)</f>
        <v>156.612999590241</v>
      </c>
    </row>
    <row r="377" spans="1:5" ht="15">
      <c r="A377" s="13">
        <v>53358</v>
      </c>
      <c r="B377" s="4">
        <f>26.2856 * CHOOSE(CONTROL!$C$9, $C$13, 100%, $E$13) + CHOOSE(CONTROL!$C$28, 0.0003, 0)</f>
        <v>26.285899999999998</v>
      </c>
      <c r="C377" s="4">
        <f>25.9731 * CHOOSE(CONTROL!$C$9, $C$13, 100%, $E$13) + CHOOSE(CONTROL!$C$28, 0.0003, 0)</f>
        <v>25.973399999999998</v>
      </c>
      <c r="D377" s="4">
        <f>32.6665 * CHOOSE(CONTROL!$C$9, $C$13, 100%, $E$13) + CHOOSE(CONTROL!$C$28, 0, 0)</f>
        <v>32.666499999999999</v>
      </c>
      <c r="E377" s="4">
        <f>152.121935566657 * CHOOSE(CONTROL!$C$9, $C$13, 100%, $E$13) + CHOOSE(CONTROL!$C$28, 0, 0)</f>
        <v>152.12193556665699</v>
      </c>
    </row>
    <row r="378" spans="1:5" ht="15">
      <c r="A378" s="13">
        <v>53386</v>
      </c>
      <c r="B378" s="4">
        <f>26.8652 * CHOOSE(CONTROL!$C$9, $C$13, 100%, $E$13) + CHOOSE(CONTROL!$C$28, 0.0003, 0)</f>
        <v>26.865500000000001</v>
      </c>
      <c r="C378" s="4">
        <f>26.5527 * CHOOSE(CONTROL!$C$9, $C$13, 100%, $E$13) + CHOOSE(CONTROL!$C$28, 0.0003, 0)</f>
        <v>26.553000000000001</v>
      </c>
      <c r="D378" s="4">
        <f>33.753 * CHOOSE(CONTROL!$C$9, $C$13, 100%, $E$13) + CHOOSE(CONTROL!$C$28, 0, 0)</f>
        <v>33.753</v>
      </c>
      <c r="E378" s="4">
        <f>155.733909815781 * CHOOSE(CONTROL!$C$9, $C$13, 100%, $E$13) + CHOOSE(CONTROL!$C$28, 0, 0)</f>
        <v>155.733909815781</v>
      </c>
    </row>
    <row r="379" spans="1:5" ht="15">
      <c r="A379" s="13">
        <v>53417</v>
      </c>
      <c r="B379" s="4">
        <f>28.3873 * CHOOSE(CONTROL!$C$9, $C$13, 100%, $E$13) + CHOOSE(CONTROL!$C$28, 0.0003, 0)</f>
        <v>28.387599999999999</v>
      </c>
      <c r="C379" s="4">
        <f>28.0748 * CHOOSE(CONTROL!$C$9, $C$13, 100%, $E$13) + CHOOSE(CONTROL!$C$28, 0.0003, 0)</f>
        <v>28.075099999999999</v>
      </c>
      <c r="D379" s="4">
        <f>35.4538 * CHOOSE(CONTROL!$C$9, $C$13, 100%, $E$13) + CHOOSE(CONTROL!$C$28, 0, 0)</f>
        <v>35.453800000000001</v>
      </c>
      <c r="E379" s="4">
        <f>165.219146145951 * CHOOSE(CONTROL!$C$9, $C$13, 100%, $E$13) + CHOOSE(CONTROL!$C$28, 0, 0)</f>
        <v>165.21914614595099</v>
      </c>
    </row>
    <row r="380" spans="1:5" ht="15">
      <c r="A380" s="13">
        <v>53447</v>
      </c>
      <c r="B380" s="4">
        <f>29.4688 * CHOOSE(CONTROL!$C$9, $C$13, 100%, $E$13) + CHOOSE(CONTROL!$C$28, 0.0003, 0)</f>
        <v>29.469100000000001</v>
      </c>
      <c r="C380" s="4">
        <f>29.1563 * CHOOSE(CONTROL!$C$9, $C$13, 100%, $E$13) + CHOOSE(CONTROL!$C$28, 0.0003, 0)</f>
        <v>29.156600000000001</v>
      </c>
      <c r="D380" s="4">
        <f>36.4335 * CHOOSE(CONTROL!$C$9, $C$13, 100%, $E$13) + CHOOSE(CONTROL!$C$28, 0, 0)</f>
        <v>36.433500000000002</v>
      </c>
      <c r="E380" s="4">
        <f>171.958532965931 * CHOOSE(CONTROL!$C$9, $C$13, 100%, $E$13) + CHOOSE(CONTROL!$C$28, 0, 0)</f>
        <v>171.958532965931</v>
      </c>
    </row>
    <row r="381" spans="1:5" ht="15">
      <c r="A381" s="13">
        <v>53478</v>
      </c>
      <c r="B381" s="4">
        <f>30.1295 * CHOOSE(CONTROL!$C$9, $C$13, 100%, $E$13) + CHOOSE(CONTROL!$C$28, 0.0294, 0)</f>
        <v>30.158899999999999</v>
      </c>
      <c r="C381" s="4">
        <f>29.817 * CHOOSE(CONTROL!$C$9, $C$13, 100%, $E$13) + CHOOSE(CONTROL!$C$28, 0.0294, 0)</f>
        <v>29.846399999999999</v>
      </c>
      <c r="D381" s="4">
        <f>36.0464 * CHOOSE(CONTROL!$C$9, $C$13, 100%, $E$13) + CHOOSE(CONTROL!$C$28, 0, 0)</f>
        <v>36.046399999999998</v>
      </c>
      <c r="E381" s="4">
        <f>176.07613679238 * CHOOSE(CONTROL!$C$9, $C$13, 100%, $E$13) + CHOOSE(CONTROL!$C$28, 0, 0)</f>
        <v>176.07613679238</v>
      </c>
    </row>
    <row r="382" spans="1:5" ht="15">
      <c r="A382" s="13">
        <v>53508</v>
      </c>
      <c r="B382" s="4">
        <f>30.2189 * CHOOSE(CONTROL!$C$9, $C$13, 100%, $E$13) + CHOOSE(CONTROL!$C$28, 0.0294, 0)</f>
        <v>30.2483</v>
      </c>
      <c r="C382" s="4">
        <f>29.9064 * CHOOSE(CONTROL!$C$9, $C$13, 100%, $E$13) + CHOOSE(CONTROL!$C$28, 0.0294, 0)</f>
        <v>29.9358</v>
      </c>
      <c r="D382" s="4">
        <f>36.3616 * CHOOSE(CONTROL!$C$9, $C$13, 100%, $E$13) + CHOOSE(CONTROL!$C$28, 0, 0)</f>
        <v>36.361600000000003</v>
      </c>
      <c r="E382" s="4">
        <f>176.633265678505 * CHOOSE(CONTROL!$C$9, $C$13, 100%, $E$13) + CHOOSE(CONTROL!$C$28, 0, 0)</f>
        <v>176.63326567850501</v>
      </c>
    </row>
    <row r="383" spans="1:5" ht="15">
      <c r="A383" s="13">
        <v>53539</v>
      </c>
      <c r="B383" s="4">
        <f>30.2099 * CHOOSE(CONTROL!$C$9, $C$13, 100%, $E$13) + CHOOSE(CONTROL!$C$28, 0.0294, 0)</f>
        <v>30.2393</v>
      </c>
      <c r="C383" s="4">
        <f>29.8974 * CHOOSE(CONTROL!$C$9, $C$13, 100%, $E$13) + CHOOSE(CONTROL!$C$28, 0.0294, 0)</f>
        <v>29.9268</v>
      </c>
      <c r="D383" s="4">
        <f>36.9305 * CHOOSE(CONTROL!$C$9, $C$13, 100%, $E$13) + CHOOSE(CONTROL!$C$28, 0, 0)</f>
        <v>36.930500000000002</v>
      </c>
      <c r="E383" s="4">
        <f>176.577084614358 * CHOOSE(CONTROL!$C$9, $C$13, 100%, $E$13) + CHOOSE(CONTROL!$C$28, 0, 0)</f>
        <v>176.577084614358</v>
      </c>
    </row>
    <row r="384" spans="1:5" ht="15">
      <c r="A384" s="13">
        <v>53570</v>
      </c>
      <c r="B384" s="4">
        <f>30.8883 * CHOOSE(CONTROL!$C$9, $C$13, 100%, $E$13) + CHOOSE(CONTROL!$C$28, 0.0294, 0)</f>
        <v>30.9177</v>
      </c>
      <c r="C384" s="4">
        <f>30.5758 * CHOOSE(CONTROL!$C$9, $C$13, 100%, $E$13) + CHOOSE(CONTROL!$C$28, 0.0294, 0)</f>
        <v>30.6052</v>
      </c>
      <c r="D384" s="4">
        <f>36.5548 * CHOOSE(CONTROL!$C$9, $C$13, 100%, $E$13) + CHOOSE(CONTROL!$C$28, 0, 0)</f>
        <v>36.5548</v>
      </c>
      <c r="E384" s="4">
        <f>180.804709691428 * CHOOSE(CONTROL!$C$9, $C$13, 100%, $E$13) + CHOOSE(CONTROL!$C$28, 0, 0)</f>
        <v>180.804709691428</v>
      </c>
    </row>
    <row r="385" spans="1:5" ht="15">
      <c r="A385" s="13">
        <v>53600</v>
      </c>
      <c r="B385" s="4">
        <f>29.7321 * CHOOSE(CONTROL!$C$9, $C$13, 100%, $E$13) + CHOOSE(CONTROL!$C$28, 0.0294, 0)</f>
        <v>29.761499999999998</v>
      </c>
      <c r="C385" s="4">
        <f>29.4196 * CHOOSE(CONTROL!$C$9, $C$13, 100%, $E$13) + CHOOSE(CONTROL!$C$28, 0.0294, 0)</f>
        <v>29.448999999999998</v>
      </c>
      <c r="D385" s="4">
        <f>36.3773 * CHOOSE(CONTROL!$C$9, $C$13, 100%, $E$13) + CHOOSE(CONTROL!$C$28, 0, 0)</f>
        <v>36.377299999999998</v>
      </c>
      <c r="E385" s="4">
        <f>173.599488214561 * CHOOSE(CONTROL!$C$9, $C$13, 100%, $E$13) + CHOOSE(CONTROL!$C$28, 0, 0)</f>
        <v>173.59948821456101</v>
      </c>
    </row>
    <row r="386" spans="1:5" ht="15">
      <c r="A386" s="13">
        <v>53631</v>
      </c>
      <c r="B386" s="4">
        <f>28.8065 * CHOOSE(CONTROL!$C$9, $C$13, 100%, $E$13) + CHOOSE(CONTROL!$C$28, 0.0003, 0)</f>
        <v>28.806799999999999</v>
      </c>
      <c r="C386" s="4">
        <f>28.494 * CHOOSE(CONTROL!$C$9, $C$13, 100%, $E$13) + CHOOSE(CONTROL!$C$28, 0.0003, 0)</f>
        <v>28.494299999999999</v>
      </c>
      <c r="D386" s="4">
        <f>35.902 * CHOOSE(CONTROL!$C$9, $C$13, 100%, $E$13) + CHOOSE(CONTROL!$C$28, 0, 0)</f>
        <v>35.902000000000001</v>
      </c>
      <c r="E386" s="4">
        <f>167.831565628792 * CHOOSE(CONTROL!$C$9, $C$13, 100%, $E$13) + CHOOSE(CONTROL!$C$28, 0, 0)</f>
        <v>167.83156562879199</v>
      </c>
    </row>
    <row r="387" spans="1:5" ht="15">
      <c r="A387" s="13">
        <v>53661</v>
      </c>
      <c r="B387" s="4">
        <f>28.2104 * CHOOSE(CONTROL!$C$9, $C$13, 100%, $E$13) + CHOOSE(CONTROL!$C$28, 0.0003, 0)</f>
        <v>28.210699999999999</v>
      </c>
      <c r="C387" s="4">
        <f>27.8979 * CHOOSE(CONTROL!$C$9, $C$13, 100%, $E$13) + CHOOSE(CONTROL!$C$28, 0.0003, 0)</f>
        <v>27.898199999999999</v>
      </c>
      <c r="D387" s="4">
        <f>35.7386 * CHOOSE(CONTROL!$C$9, $C$13, 100%, $E$13) + CHOOSE(CONTROL!$C$28, 0, 0)</f>
        <v>35.738599999999998</v>
      </c>
      <c r="E387" s="4">
        <f>164.116592762064 * CHOOSE(CONTROL!$C$9, $C$13, 100%, $E$13) + CHOOSE(CONTROL!$C$28, 0, 0)</f>
        <v>164.11659276206399</v>
      </c>
    </row>
    <row r="388" spans="1:5" ht="15">
      <c r="A388" s="13">
        <v>53692</v>
      </c>
      <c r="B388" s="4">
        <f>27.7979 * CHOOSE(CONTROL!$C$9, $C$13, 100%, $E$13) + CHOOSE(CONTROL!$C$28, 0.0003, 0)</f>
        <v>27.798199999999998</v>
      </c>
      <c r="C388" s="4">
        <f>27.4854 * CHOOSE(CONTROL!$C$9, $C$13, 100%, $E$13) + CHOOSE(CONTROL!$C$28, 0.0003, 0)</f>
        <v>27.485699999999998</v>
      </c>
      <c r="D388" s="4">
        <f>34.5356 * CHOOSE(CONTROL!$C$9, $C$13, 100%, $E$13) + CHOOSE(CONTROL!$C$28, 0, 0)</f>
        <v>34.535600000000002</v>
      </c>
      <c r="E388" s="4">
        <f>161.546309077334 * CHOOSE(CONTROL!$C$9, $C$13, 100%, $E$13) + CHOOSE(CONTROL!$C$28, 0, 0)</f>
        <v>161.546309077334</v>
      </c>
    </row>
    <row r="389" spans="1:5" ht="15">
      <c r="A389" s="13">
        <v>53723</v>
      </c>
      <c r="B389" s="4">
        <f>27.1278 * CHOOSE(CONTROL!$C$9, $C$13, 100%, $E$13) + CHOOSE(CONTROL!$C$28, 0.0003, 0)</f>
        <v>27.1281</v>
      </c>
      <c r="C389" s="4">
        <f>26.8153 * CHOOSE(CONTROL!$C$9, $C$13, 100%, $E$13) + CHOOSE(CONTROL!$C$28, 0.0003, 0)</f>
        <v>26.8156</v>
      </c>
      <c r="D389" s="4">
        <f>33.4299 * CHOOSE(CONTROL!$C$9, $C$13, 100%, $E$13) + CHOOSE(CONTROL!$C$28, 0, 0)</f>
        <v>33.429900000000004</v>
      </c>
      <c r="E389" s="4">
        <f>156.913776537007 * CHOOSE(CONTROL!$C$9, $C$13, 100%, $E$13) + CHOOSE(CONTROL!$C$28, 0, 0)</f>
        <v>156.91377653700701</v>
      </c>
    </row>
    <row r="390" spans="1:5" ht="15">
      <c r="A390" s="13">
        <v>53751</v>
      </c>
      <c r="B390" s="4">
        <f>27.7274 * CHOOSE(CONTROL!$C$9, $C$13, 100%, $E$13) + CHOOSE(CONTROL!$C$28, 0.0003, 0)</f>
        <v>27.727699999999999</v>
      </c>
      <c r="C390" s="4">
        <f>27.4149 * CHOOSE(CONTROL!$C$9, $C$13, 100%, $E$13) + CHOOSE(CONTROL!$C$28, 0.0003, 0)</f>
        <v>27.415199999999999</v>
      </c>
      <c r="D390" s="4">
        <f>34.5434 * CHOOSE(CONTROL!$C$9, $C$13, 100%, $E$13) + CHOOSE(CONTROL!$C$28, 0, 0)</f>
        <v>34.543399999999998</v>
      </c>
      <c r="E390" s="4">
        <f>160.639527974978 * CHOOSE(CONTROL!$C$9, $C$13, 100%, $E$13) + CHOOSE(CONTROL!$C$28, 0, 0)</f>
        <v>160.63952797497799</v>
      </c>
    </row>
    <row r="391" spans="1:5" ht="15">
      <c r="A391" s="13">
        <v>53782</v>
      </c>
      <c r="B391" s="4">
        <f>29.302 * CHOOSE(CONTROL!$C$9, $C$13, 100%, $E$13) + CHOOSE(CONTROL!$C$28, 0.0003, 0)</f>
        <v>29.302299999999999</v>
      </c>
      <c r="C391" s="4">
        <f>28.9895 * CHOOSE(CONTROL!$C$9, $C$13, 100%, $E$13) + CHOOSE(CONTROL!$C$28, 0.0003, 0)</f>
        <v>28.989799999999999</v>
      </c>
      <c r="D391" s="4">
        <f>36.2863 * CHOOSE(CONTROL!$C$9, $C$13, 100%, $E$13) + CHOOSE(CONTROL!$C$28, 0, 0)</f>
        <v>36.286299999999997</v>
      </c>
      <c r="E391" s="4">
        <f>170.423549249549 * CHOOSE(CONTROL!$C$9, $C$13, 100%, $E$13) + CHOOSE(CONTROL!$C$28, 0, 0)</f>
        <v>170.42354924954901</v>
      </c>
    </row>
    <row r="392" spans="1:5" ht="15">
      <c r="A392" s="13">
        <v>53812</v>
      </c>
      <c r="B392" s="4">
        <f>30.4208 * CHOOSE(CONTROL!$C$9, $C$13, 100%, $E$13) + CHOOSE(CONTROL!$C$28, 0.0003, 0)</f>
        <v>30.421099999999999</v>
      </c>
      <c r="C392" s="4">
        <f>30.1083 * CHOOSE(CONTROL!$C$9, $C$13, 100%, $E$13) + CHOOSE(CONTROL!$C$28, 0.0003, 0)</f>
        <v>30.108599999999999</v>
      </c>
      <c r="D392" s="4">
        <f>37.2903 * CHOOSE(CONTROL!$C$9, $C$13, 100%, $E$13) + CHOOSE(CONTROL!$C$28, 0, 0)</f>
        <v>37.290300000000002</v>
      </c>
      <c r="E392" s="4">
        <f>177.375226754358 * CHOOSE(CONTROL!$C$9, $C$13, 100%, $E$13) + CHOOSE(CONTROL!$C$28, 0, 0)</f>
        <v>177.37522675435801</v>
      </c>
    </row>
    <row r="393" spans="1:5" ht="15">
      <c r="A393" s="13">
        <v>53843</v>
      </c>
      <c r="B393" s="4">
        <f>31.1043 * CHOOSE(CONTROL!$C$9, $C$13, 100%, $E$13) + CHOOSE(CONTROL!$C$28, 0.0294, 0)</f>
        <v>31.133699999999997</v>
      </c>
      <c r="C393" s="4">
        <f>30.7918 * CHOOSE(CONTROL!$C$9, $C$13, 100%, $E$13) + CHOOSE(CONTROL!$C$28, 0.0294, 0)</f>
        <v>30.821199999999997</v>
      </c>
      <c r="D393" s="4">
        <f>36.8936 * CHOOSE(CONTROL!$C$9, $C$13, 100%, $E$13) + CHOOSE(CONTROL!$C$28, 0, 0)</f>
        <v>36.893599999999999</v>
      </c>
      <c r="E393" s="4">
        <f>181.62253510134 * CHOOSE(CONTROL!$C$9, $C$13, 100%, $E$13) + CHOOSE(CONTROL!$C$28, 0, 0)</f>
        <v>181.62253510133999</v>
      </c>
    </row>
    <row r="394" spans="1:5" ht="15">
      <c r="A394" s="13">
        <v>53873</v>
      </c>
      <c r="B394" s="4">
        <f>31.1968 * CHOOSE(CONTROL!$C$9, $C$13, 100%, $E$13) + CHOOSE(CONTROL!$C$28, 0.0294, 0)</f>
        <v>31.226199999999999</v>
      </c>
      <c r="C394" s="4">
        <f>30.8843 * CHOOSE(CONTROL!$C$9, $C$13, 100%, $E$13) + CHOOSE(CONTROL!$C$28, 0.0294, 0)</f>
        <v>30.913699999999999</v>
      </c>
      <c r="D394" s="4">
        <f>37.2167 * CHOOSE(CONTROL!$C$9, $C$13, 100%, $E$13) + CHOOSE(CONTROL!$C$28, 0, 0)</f>
        <v>37.216700000000003</v>
      </c>
      <c r="E394" s="4">
        <f>182.197213547378 * CHOOSE(CONTROL!$C$9, $C$13, 100%, $E$13) + CHOOSE(CONTROL!$C$28, 0, 0)</f>
        <v>182.197213547378</v>
      </c>
    </row>
    <row r="395" spans="1:5" ht="15">
      <c r="A395" s="13">
        <v>53904</v>
      </c>
      <c r="B395" s="4">
        <f>31.1874 * CHOOSE(CONTROL!$C$9, $C$13, 100%, $E$13) + CHOOSE(CONTROL!$C$28, 0.0294, 0)</f>
        <v>31.216799999999999</v>
      </c>
      <c r="C395" s="4">
        <f>30.8749 * CHOOSE(CONTROL!$C$9, $C$13, 100%, $E$13) + CHOOSE(CONTROL!$C$28, 0.0294, 0)</f>
        <v>30.904299999999999</v>
      </c>
      <c r="D395" s="4">
        <f>37.7997 * CHOOSE(CONTROL!$C$9, $C$13, 100%, $E$13) + CHOOSE(CONTROL!$C$28, 0, 0)</f>
        <v>37.799700000000001</v>
      </c>
      <c r="E395" s="4">
        <f>182.13926277971 * CHOOSE(CONTROL!$C$9, $C$13, 100%, $E$13) + CHOOSE(CONTROL!$C$28, 0, 0)</f>
        <v>182.13926277971001</v>
      </c>
    </row>
    <row r="396" spans="1:5" ht="15">
      <c r="A396" s="13">
        <v>53935</v>
      </c>
      <c r="B396" s="4">
        <f>31.8893 * CHOOSE(CONTROL!$C$9, $C$13, 100%, $E$13) + CHOOSE(CONTROL!$C$28, 0.0294, 0)</f>
        <v>31.918699999999998</v>
      </c>
      <c r="C396" s="4">
        <f>31.5768 * CHOOSE(CONTROL!$C$9, $C$13, 100%, $E$13) + CHOOSE(CONTROL!$C$28, 0.0294, 0)</f>
        <v>31.606199999999998</v>
      </c>
      <c r="D396" s="4">
        <f>37.4147 * CHOOSE(CONTROL!$C$9, $C$13, 100%, $E$13) + CHOOSE(CONTROL!$C$28, 0, 0)</f>
        <v>37.414700000000003</v>
      </c>
      <c r="E396" s="4">
        <f>186.500058046708 * CHOOSE(CONTROL!$C$9, $C$13, 100%, $E$13) + CHOOSE(CONTROL!$C$28, 0, 0)</f>
        <v>186.50005804670801</v>
      </c>
    </row>
    <row r="397" spans="1:5" ht="15">
      <c r="A397" s="13">
        <v>53965</v>
      </c>
      <c r="B397" s="4">
        <f>30.6932 * CHOOSE(CONTROL!$C$9, $C$13, 100%, $E$13) + CHOOSE(CONTROL!$C$28, 0.0294, 0)</f>
        <v>30.7226</v>
      </c>
      <c r="C397" s="4">
        <f>30.3807 * CHOOSE(CONTROL!$C$9, $C$13, 100%, $E$13) + CHOOSE(CONTROL!$C$28, 0.0294, 0)</f>
        <v>30.4101</v>
      </c>
      <c r="D397" s="4">
        <f>37.2328 * CHOOSE(CONTROL!$C$9, $C$13, 100%, $E$13) + CHOOSE(CONTROL!$C$28, 0, 0)</f>
        <v>37.232799999999997</v>
      </c>
      <c r="E397" s="4">
        <f>179.06787209332 * CHOOSE(CONTROL!$C$9, $C$13, 100%, $E$13) + CHOOSE(CONTROL!$C$28, 0, 0)</f>
        <v>179.06787209332001</v>
      </c>
    </row>
    <row r="398" spans="1:5" ht="15">
      <c r="A398" s="13">
        <v>53996</v>
      </c>
      <c r="B398" s="4">
        <f>29.7357 * CHOOSE(CONTROL!$C$9, $C$13, 100%, $E$13) + CHOOSE(CONTROL!$C$28, 0.0003, 0)</f>
        <v>29.736000000000001</v>
      </c>
      <c r="C398" s="4">
        <f>29.4232 * CHOOSE(CONTROL!$C$9, $C$13, 100%, $E$13) + CHOOSE(CONTROL!$C$28, 0.0003, 0)</f>
        <v>29.423500000000001</v>
      </c>
      <c r="D398" s="4">
        <f>36.7457 * CHOOSE(CONTROL!$C$9, $C$13, 100%, $E$13) + CHOOSE(CONTROL!$C$28, 0, 0)</f>
        <v>36.745699999999999</v>
      </c>
      <c r="E398" s="4">
        <f>173.118259946099 * CHOOSE(CONTROL!$C$9, $C$13, 100%, $E$13) + CHOOSE(CONTROL!$C$28, 0, 0)</f>
        <v>173.11825994609899</v>
      </c>
    </row>
    <row r="399" spans="1:5" ht="15">
      <c r="A399" s="13">
        <v>54026</v>
      </c>
      <c r="B399" s="4">
        <f>29.119 * CHOOSE(CONTROL!$C$9, $C$13, 100%, $E$13) + CHOOSE(CONTROL!$C$28, 0.0003, 0)</f>
        <v>29.119299999999999</v>
      </c>
      <c r="C399" s="4">
        <f>28.8065 * CHOOSE(CONTROL!$C$9, $C$13, 100%, $E$13) + CHOOSE(CONTROL!$C$28, 0.0003, 0)</f>
        <v>28.806799999999999</v>
      </c>
      <c r="D399" s="4">
        <f>36.5783 * CHOOSE(CONTROL!$C$9, $C$13, 100%, $E$13) + CHOOSE(CONTROL!$C$28, 0, 0)</f>
        <v>36.578299999999999</v>
      </c>
      <c r="E399" s="4">
        <f>169.286265434069 * CHOOSE(CONTROL!$C$9, $C$13, 100%, $E$13) + CHOOSE(CONTROL!$C$28, 0, 0)</f>
        <v>169.28626543406901</v>
      </c>
    </row>
    <row r="400" spans="1:5" ht="15">
      <c r="A400" s="13">
        <v>54057</v>
      </c>
      <c r="B400" s="4">
        <f>28.6923 * CHOOSE(CONTROL!$C$9, $C$13, 100%, $E$13) + CHOOSE(CONTROL!$C$28, 0.0003, 0)</f>
        <v>28.692599999999999</v>
      </c>
      <c r="C400" s="4">
        <f>28.3798 * CHOOSE(CONTROL!$C$9, $C$13, 100%, $E$13) + CHOOSE(CONTROL!$C$28, 0.0003, 0)</f>
        <v>28.380099999999999</v>
      </c>
      <c r="D400" s="4">
        <f>35.3454 * CHOOSE(CONTROL!$C$9, $C$13, 100%, $E$13) + CHOOSE(CONTROL!$C$28, 0, 0)</f>
        <v>35.345399999999998</v>
      </c>
      <c r="E400" s="4">
        <f>166.63501781327 * CHOOSE(CONTROL!$C$9, $C$13, 100%, $E$13) + CHOOSE(CONTROL!$C$28, 0, 0)</f>
        <v>166.63501781327</v>
      </c>
    </row>
    <row r="401" spans="1:5" ht="15">
      <c r="A401" s="13">
        <v>54088</v>
      </c>
      <c r="B401" s="4">
        <f>27.999 * CHOOSE(CONTROL!$C$9, $C$13, 100%, $E$13) + CHOOSE(CONTROL!$C$28, 0.0003, 0)</f>
        <v>27.999299999999998</v>
      </c>
      <c r="C401" s="4">
        <f>27.6865 * CHOOSE(CONTROL!$C$9, $C$13, 100%, $E$13) + CHOOSE(CONTROL!$C$28, 0.0003, 0)</f>
        <v>27.686799999999998</v>
      </c>
      <c r="D401" s="4">
        <f>34.2123 * CHOOSE(CONTROL!$C$9, $C$13, 100%, $E$13) + CHOOSE(CONTROL!$C$28, 0, 0)</f>
        <v>34.212299999999999</v>
      </c>
      <c r="E401" s="4">
        <f>161.856560497922 * CHOOSE(CONTROL!$C$9, $C$13, 100%, $E$13) + CHOOSE(CONTROL!$C$28, 0, 0)</f>
        <v>161.856560497922</v>
      </c>
    </row>
    <row r="402" spans="1:5" ht="15">
      <c r="A402" s="13">
        <v>54116</v>
      </c>
      <c r="B402" s="4">
        <f>28.6193 * CHOOSE(CONTROL!$C$9, $C$13, 100%, $E$13) + CHOOSE(CONTROL!$C$28, 0.0003, 0)</f>
        <v>28.619599999999998</v>
      </c>
      <c r="C402" s="4">
        <f>28.3068 * CHOOSE(CONTROL!$C$9, $C$13, 100%, $E$13) + CHOOSE(CONTROL!$C$28, 0.0003, 0)</f>
        <v>28.307099999999998</v>
      </c>
      <c r="D402" s="4">
        <f>35.3533 * CHOOSE(CONTROL!$C$9, $C$13, 100%, $E$13) + CHOOSE(CONTROL!$C$28, 0, 0)</f>
        <v>35.353299999999997</v>
      </c>
      <c r="E402" s="4">
        <f>165.69967310619 * CHOOSE(CONTROL!$C$9, $C$13, 100%, $E$13) + CHOOSE(CONTROL!$C$28, 0, 0)</f>
        <v>165.69967310619001</v>
      </c>
    </row>
    <row r="403" spans="1:5" ht="15">
      <c r="A403" s="13">
        <v>54148</v>
      </c>
      <c r="B403" s="4">
        <f>30.2482 * CHOOSE(CONTROL!$C$9, $C$13, 100%, $E$13) + CHOOSE(CONTROL!$C$28, 0.0003, 0)</f>
        <v>30.2485</v>
      </c>
      <c r="C403" s="4">
        <f>29.9357 * CHOOSE(CONTROL!$C$9, $C$13, 100%, $E$13) + CHOOSE(CONTROL!$C$28, 0.0003, 0)</f>
        <v>29.936</v>
      </c>
      <c r="D403" s="4">
        <f>37.1395 * CHOOSE(CONTROL!$C$9, $C$13, 100%, $E$13) + CHOOSE(CONTROL!$C$28, 0, 0)</f>
        <v>37.139499999999998</v>
      </c>
      <c r="E403" s="4">
        <f>175.791891050909 * CHOOSE(CONTROL!$C$9, $C$13, 100%, $E$13) + CHOOSE(CONTROL!$C$28, 0, 0)</f>
        <v>175.79189105090899</v>
      </c>
    </row>
    <row r="404" spans="1:5" ht="15">
      <c r="A404" s="13">
        <v>54178</v>
      </c>
      <c r="B404" s="4">
        <f>31.4056 * CHOOSE(CONTROL!$C$9, $C$13, 100%, $E$13) + CHOOSE(CONTROL!$C$28, 0.0003, 0)</f>
        <v>31.405899999999999</v>
      </c>
      <c r="C404" s="4">
        <f>31.0931 * CHOOSE(CONTROL!$C$9, $C$13, 100%, $E$13) + CHOOSE(CONTROL!$C$28, 0.0003, 0)</f>
        <v>31.093399999999999</v>
      </c>
      <c r="D404" s="4">
        <f>38.1685 * CHOOSE(CONTROL!$C$9, $C$13, 100%, $E$13) + CHOOSE(CONTROL!$C$28, 0, 0)</f>
        <v>38.168500000000002</v>
      </c>
      <c r="E404" s="4">
        <f>182.96254639712 * CHOOSE(CONTROL!$C$9, $C$13, 100%, $E$13) + CHOOSE(CONTROL!$C$28, 0, 0)</f>
        <v>182.96254639712001</v>
      </c>
    </row>
    <row r="405" spans="1:5" ht="15">
      <c r="A405" s="13">
        <v>54209</v>
      </c>
      <c r="B405" s="4">
        <f>32.1127 * CHOOSE(CONTROL!$C$9, $C$13, 100%, $E$13) + CHOOSE(CONTROL!$C$28, 0.0294, 0)</f>
        <v>32.142099999999999</v>
      </c>
      <c r="C405" s="4">
        <f>31.8002 * CHOOSE(CONTROL!$C$9, $C$13, 100%, $E$13) + CHOOSE(CONTROL!$C$28, 0.0294, 0)</f>
        <v>31.829599999999999</v>
      </c>
      <c r="D405" s="4">
        <f>37.7619 * CHOOSE(CONTROL!$C$9, $C$13, 100%, $E$13) + CHOOSE(CONTROL!$C$28, 0, 0)</f>
        <v>37.761899999999997</v>
      </c>
      <c r="E405" s="4">
        <f>187.343644957032 * CHOOSE(CONTROL!$C$9, $C$13, 100%, $E$13) + CHOOSE(CONTROL!$C$28, 0, 0)</f>
        <v>187.34364495703201</v>
      </c>
    </row>
    <row r="406" spans="1:5" ht="15">
      <c r="A406" s="13">
        <v>54239</v>
      </c>
      <c r="B406" s="4">
        <f>32.2084 * CHOOSE(CONTROL!$C$9, $C$13, 100%, $E$13) + CHOOSE(CONTROL!$C$28, 0.0294, 0)</f>
        <v>32.2378</v>
      </c>
      <c r="C406" s="4">
        <f>31.8959 * CHOOSE(CONTROL!$C$9, $C$13, 100%, $E$13) + CHOOSE(CONTROL!$C$28, 0.0294, 0)</f>
        <v>31.9253</v>
      </c>
      <c r="D406" s="4">
        <f>38.093 * CHOOSE(CONTROL!$C$9, $C$13, 100%, $E$13) + CHOOSE(CONTROL!$C$28, 0, 0)</f>
        <v>38.093000000000004</v>
      </c>
      <c r="E406" s="4">
        <f>187.93642577412 * CHOOSE(CONTROL!$C$9, $C$13, 100%, $E$13) + CHOOSE(CONTROL!$C$28, 0, 0)</f>
        <v>187.93642577412001</v>
      </c>
    </row>
    <row r="407" spans="1:5" ht="15">
      <c r="A407" s="13">
        <v>54270</v>
      </c>
      <c r="B407" s="4">
        <f>32.1987 * CHOOSE(CONTROL!$C$9, $C$13, 100%, $E$13) + CHOOSE(CONTROL!$C$28, 0.0294, 0)</f>
        <v>32.228100000000005</v>
      </c>
      <c r="C407" s="4">
        <f>31.8862 * CHOOSE(CONTROL!$C$9, $C$13, 100%, $E$13) + CHOOSE(CONTROL!$C$28, 0.0294, 0)</f>
        <v>31.915599999999998</v>
      </c>
      <c r="D407" s="4">
        <f>38.6905 * CHOOSE(CONTROL!$C$9, $C$13, 100%, $E$13) + CHOOSE(CONTROL!$C$28, 0, 0)</f>
        <v>38.6905</v>
      </c>
      <c r="E407" s="4">
        <f>187.876649557271 * CHOOSE(CONTROL!$C$9, $C$13, 100%, $E$13) + CHOOSE(CONTROL!$C$28, 0, 0)</f>
        <v>187.87664955727101</v>
      </c>
    </row>
    <row r="408" spans="1:5" ht="15">
      <c r="A408" s="13">
        <v>54301</v>
      </c>
      <c r="B408" s="4">
        <f>32.9247 * CHOOSE(CONTROL!$C$9, $C$13, 100%, $E$13) + CHOOSE(CONTROL!$C$28, 0.0294, 0)</f>
        <v>32.954100000000004</v>
      </c>
      <c r="C408" s="4">
        <f>32.6122 * CHOOSE(CONTROL!$C$9, $C$13, 100%, $E$13) + CHOOSE(CONTROL!$C$28, 0.0294, 0)</f>
        <v>32.641600000000004</v>
      </c>
      <c r="D408" s="4">
        <f>38.2959 * CHOOSE(CONTROL!$C$9, $C$13, 100%, $E$13) + CHOOSE(CONTROL!$C$28, 0, 0)</f>
        <v>38.295900000000003</v>
      </c>
      <c r="E408" s="4">
        <f>192.374809875179 * CHOOSE(CONTROL!$C$9, $C$13, 100%, $E$13) + CHOOSE(CONTROL!$C$28, 0, 0)</f>
        <v>192.37480987517901</v>
      </c>
    </row>
    <row r="409" spans="1:5" ht="15">
      <c r="A409" s="13">
        <v>54331</v>
      </c>
      <c r="B409" s="4">
        <f>31.6874 * CHOOSE(CONTROL!$C$9, $C$13, 100%, $E$13) + CHOOSE(CONTROL!$C$28, 0.0294, 0)</f>
        <v>31.716799999999999</v>
      </c>
      <c r="C409" s="4">
        <f>31.3749 * CHOOSE(CONTROL!$C$9, $C$13, 100%, $E$13) + CHOOSE(CONTROL!$C$28, 0.0294, 0)</f>
        <v>31.404299999999999</v>
      </c>
      <c r="D409" s="4">
        <f>38.1095 * CHOOSE(CONTROL!$C$9, $C$13, 100%, $E$13) + CHOOSE(CONTROL!$C$28, 0, 0)</f>
        <v>38.109499999999997</v>
      </c>
      <c r="E409" s="4">
        <f>184.70851006426 * CHOOSE(CONTROL!$C$9, $C$13, 100%, $E$13) + CHOOSE(CONTROL!$C$28, 0, 0)</f>
        <v>184.70851006426</v>
      </c>
    </row>
    <row r="410" spans="1:5" ht="15">
      <c r="A410" s="13">
        <v>54362</v>
      </c>
      <c r="B410" s="4">
        <f>30.6969 * CHOOSE(CONTROL!$C$9, $C$13, 100%, $E$13) + CHOOSE(CONTROL!$C$28, 0.0003, 0)</f>
        <v>30.697199999999999</v>
      </c>
      <c r="C410" s="4">
        <f>30.3844 * CHOOSE(CONTROL!$C$9, $C$13, 100%, $E$13) + CHOOSE(CONTROL!$C$28, 0.0003, 0)</f>
        <v>30.384699999999999</v>
      </c>
      <c r="D410" s="4">
        <f>37.6103 * CHOOSE(CONTROL!$C$9, $C$13, 100%, $E$13) + CHOOSE(CONTROL!$C$28, 0, 0)</f>
        <v>37.610300000000002</v>
      </c>
      <c r="E410" s="4">
        <f>178.571485134401 * CHOOSE(CONTROL!$C$9, $C$13, 100%, $E$13) + CHOOSE(CONTROL!$C$28, 0, 0)</f>
        <v>178.571485134401</v>
      </c>
    </row>
    <row r="411" spans="1:5" ht="15">
      <c r="A411" s="13">
        <v>54392</v>
      </c>
      <c r="B411" s="4">
        <f>30.0589 * CHOOSE(CONTROL!$C$9, $C$13, 100%, $E$13) + CHOOSE(CONTROL!$C$28, 0.0003, 0)</f>
        <v>30.059200000000001</v>
      </c>
      <c r="C411" s="4">
        <f>29.7464 * CHOOSE(CONTROL!$C$9, $C$13, 100%, $E$13) + CHOOSE(CONTROL!$C$28, 0.0003, 0)</f>
        <v>29.746700000000001</v>
      </c>
      <c r="D411" s="4">
        <f>37.4387 * CHOOSE(CONTROL!$C$9, $C$13, 100%, $E$13) + CHOOSE(CONTROL!$C$28, 0, 0)</f>
        <v>37.438699999999997</v>
      </c>
      <c r="E411" s="4">
        <f>174.618782795242 * CHOOSE(CONTROL!$C$9, $C$13, 100%, $E$13) + CHOOSE(CONTROL!$C$28, 0, 0)</f>
        <v>174.618782795242</v>
      </c>
    </row>
    <row r="412" spans="1:5" ht="15">
      <c r="A412" s="13">
        <v>54423</v>
      </c>
      <c r="B412" s="4">
        <f>29.6175 * CHOOSE(CONTROL!$C$9, $C$13, 100%, $E$13) + CHOOSE(CONTROL!$C$28, 0.0003, 0)</f>
        <v>29.617799999999999</v>
      </c>
      <c r="C412" s="4">
        <f>29.305 * CHOOSE(CONTROL!$C$9, $C$13, 100%, $E$13) + CHOOSE(CONTROL!$C$28, 0.0003, 0)</f>
        <v>29.305299999999999</v>
      </c>
      <c r="D412" s="4">
        <f>36.1753 * CHOOSE(CONTROL!$C$9, $C$13, 100%, $E$13) + CHOOSE(CONTROL!$C$28, 0, 0)</f>
        <v>36.1753</v>
      </c>
      <c r="E412" s="4">
        <f>171.884020874388 * CHOOSE(CONTROL!$C$9, $C$13, 100%, $E$13) + CHOOSE(CONTROL!$C$28, 0, 0)</f>
        <v>171.884020874388</v>
      </c>
    </row>
    <row r="413" spans="1:5" ht="15">
      <c r="A413" s="13">
        <v>54454</v>
      </c>
      <c r="B413" s="4">
        <f>28.9003 * CHOOSE(CONTROL!$C$9, $C$13, 100%, $E$13) + CHOOSE(CONTROL!$C$28, 0.0003, 0)</f>
        <v>28.900600000000001</v>
      </c>
      <c r="C413" s="4">
        <f>28.5878 * CHOOSE(CONTROL!$C$9, $C$13, 100%, $E$13) + CHOOSE(CONTROL!$C$28, 0.0003, 0)</f>
        <v>28.588100000000001</v>
      </c>
      <c r="D413" s="4">
        <f>35.0141 * CHOOSE(CONTROL!$C$9, $C$13, 100%, $E$13) + CHOOSE(CONTROL!$C$28, 0, 0)</f>
        <v>35.014099999999999</v>
      </c>
      <c r="E413" s="4">
        <f>166.955042153607 * CHOOSE(CONTROL!$C$9, $C$13, 100%, $E$13) + CHOOSE(CONTROL!$C$28, 0, 0)</f>
        <v>166.955042153607</v>
      </c>
    </row>
    <row r="414" spans="1:5" ht="15">
      <c r="A414" s="13">
        <v>54482</v>
      </c>
      <c r="B414" s="4">
        <f>29.542 * CHOOSE(CONTROL!$C$9, $C$13, 100%, $E$13) + CHOOSE(CONTROL!$C$28, 0.0003, 0)</f>
        <v>29.542300000000001</v>
      </c>
      <c r="C414" s="4">
        <f>29.2295 * CHOOSE(CONTROL!$C$9, $C$13, 100%, $E$13) + CHOOSE(CONTROL!$C$28, 0.0003, 0)</f>
        <v>29.229800000000001</v>
      </c>
      <c r="D414" s="4">
        <f>36.1834 * CHOOSE(CONTROL!$C$9, $C$13, 100%, $E$13) + CHOOSE(CONTROL!$C$28, 0, 0)</f>
        <v>36.183399999999999</v>
      </c>
      <c r="E414" s="4">
        <f>170.919212809035 * CHOOSE(CONTROL!$C$9, $C$13, 100%, $E$13) + CHOOSE(CONTROL!$C$28, 0, 0)</f>
        <v>170.919212809035</v>
      </c>
    </row>
    <row r="415" spans="1:5" ht="15">
      <c r="A415" s="13">
        <v>54513</v>
      </c>
      <c r="B415" s="4">
        <f>31.2271 * CHOOSE(CONTROL!$C$9, $C$13, 100%, $E$13) + CHOOSE(CONTROL!$C$28, 0.0003, 0)</f>
        <v>31.227399999999999</v>
      </c>
      <c r="C415" s="4">
        <f>30.9146 * CHOOSE(CONTROL!$C$9, $C$13, 100%, $E$13) + CHOOSE(CONTROL!$C$28, 0.0003, 0)</f>
        <v>30.914899999999999</v>
      </c>
      <c r="D415" s="4">
        <f>38.0139 * CHOOSE(CONTROL!$C$9, $C$13, 100%, $E$13) + CHOOSE(CONTROL!$C$28, 0, 0)</f>
        <v>38.0139</v>
      </c>
      <c r="E415" s="4">
        <f>181.329335619013 * CHOOSE(CONTROL!$C$9, $C$13, 100%, $E$13) + CHOOSE(CONTROL!$C$28, 0, 0)</f>
        <v>181.32933561901299</v>
      </c>
    </row>
    <row r="416" spans="1:5" ht="15">
      <c r="A416" s="13">
        <v>54543</v>
      </c>
      <c r="B416" s="4">
        <f>32.4244 * CHOOSE(CONTROL!$C$9, $C$13, 100%, $E$13) + CHOOSE(CONTROL!$C$28, 0.0003, 0)</f>
        <v>32.424700000000001</v>
      </c>
      <c r="C416" s="4">
        <f>32.1119 * CHOOSE(CONTROL!$C$9, $C$13, 100%, $E$13) + CHOOSE(CONTROL!$C$28, 0.0003, 0)</f>
        <v>32.112200000000001</v>
      </c>
      <c r="D416" s="4">
        <f>39.0683 * CHOOSE(CONTROL!$C$9, $C$13, 100%, $E$13) + CHOOSE(CONTROL!$C$28, 0, 0)</f>
        <v>39.068300000000001</v>
      </c>
      <c r="E416" s="4">
        <f>188.72586660863 * CHOOSE(CONTROL!$C$9, $C$13, 100%, $E$13) + CHOOSE(CONTROL!$C$28, 0, 0)</f>
        <v>188.72586660863001</v>
      </c>
    </row>
    <row r="417" spans="1:5" ht="15">
      <c r="A417" s="13">
        <v>54574</v>
      </c>
      <c r="B417" s="4">
        <f>33.1559 * CHOOSE(CONTROL!$C$9, $C$13, 100%, $E$13) + CHOOSE(CONTROL!$C$28, 0.0294, 0)</f>
        <v>33.185300000000005</v>
      </c>
      <c r="C417" s="4">
        <f>32.8434 * CHOOSE(CONTROL!$C$9, $C$13, 100%, $E$13) + CHOOSE(CONTROL!$C$28, 0.0294, 0)</f>
        <v>32.872800000000005</v>
      </c>
      <c r="D417" s="4">
        <f>38.6517 * CHOOSE(CONTROL!$C$9, $C$13, 100%, $E$13) + CHOOSE(CONTROL!$C$28, 0, 0)</f>
        <v>38.651699999999998</v>
      </c>
      <c r="E417" s="4">
        <f>193.244969773178 * CHOOSE(CONTROL!$C$9, $C$13, 100%, $E$13) + CHOOSE(CONTROL!$C$28, 0, 0)</f>
        <v>193.24496977317801</v>
      </c>
    </row>
    <row r="418" spans="1:5" ht="15">
      <c r="A418" s="13">
        <v>54604</v>
      </c>
      <c r="B418" s="4">
        <f>33.2549 * CHOOSE(CONTROL!$C$9, $C$13, 100%, $E$13) + CHOOSE(CONTROL!$C$28, 0.0294, 0)</f>
        <v>33.284300000000002</v>
      </c>
      <c r="C418" s="4">
        <f>32.9424 * CHOOSE(CONTROL!$C$9, $C$13, 100%, $E$13) + CHOOSE(CONTROL!$C$28, 0.0294, 0)</f>
        <v>32.971800000000002</v>
      </c>
      <c r="D418" s="4">
        <f>38.991 * CHOOSE(CONTROL!$C$9, $C$13, 100%, $E$13) + CHOOSE(CONTROL!$C$28, 0, 0)</f>
        <v>38.991</v>
      </c>
      <c r="E418" s="4">
        <f>193.856423186005 * CHOOSE(CONTROL!$C$9, $C$13, 100%, $E$13) + CHOOSE(CONTROL!$C$28, 0, 0)</f>
        <v>193.856423186005</v>
      </c>
    </row>
    <row r="419" spans="1:5" ht="15">
      <c r="A419" s="13">
        <v>54635</v>
      </c>
      <c r="B419" s="4">
        <f>33.2449 * CHOOSE(CONTROL!$C$9, $C$13, 100%, $E$13) + CHOOSE(CONTROL!$C$28, 0.0294, 0)</f>
        <v>33.274300000000004</v>
      </c>
      <c r="C419" s="4">
        <f>32.9324 * CHOOSE(CONTROL!$C$9, $C$13, 100%, $E$13) + CHOOSE(CONTROL!$C$28, 0.0294, 0)</f>
        <v>32.961800000000004</v>
      </c>
      <c r="D419" s="4">
        <f>39.6033 * CHOOSE(CONTROL!$C$9, $C$13, 100%, $E$13) + CHOOSE(CONTROL!$C$28, 0, 0)</f>
        <v>39.603299999999997</v>
      </c>
      <c r="E419" s="4">
        <f>193.794764018325 * CHOOSE(CONTROL!$C$9, $C$13, 100%, $E$13) + CHOOSE(CONTROL!$C$28, 0, 0)</f>
        <v>193.794764018325</v>
      </c>
    </row>
    <row r="420" spans="1:5" ht="15">
      <c r="A420" s="13">
        <v>54666</v>
      </c>
      <c r="B420" s="4">
        <f>33.996 * CHOOSE(CONTROL!$C$9, $C$13, 100%, $E$13) + CHOOSE(CONTROL!$C$28, 0.0294, 0)</f>
        <v>34.025400000000005</v>
      </c>
      <c r="C420" s="4">
        <f>33.6835 * CHOOSE(CONTROL!$C$9, $C$13, 100%, $E$13) + CHOOSE(CONTROL!$C$28, 0.0294, 0)</f>
        <v>33.712900000000005</v>
      </c>
      <c r="D420" s="4">
        <f>39.199 * CHOOSE(CONTROL!$C$9, $C$13, 100%, $E$13) + CHOOSE(CONTROL!$C$28, 0, 0)</f>
        <v>39.198999999999998</v>
      </c>
      <c r="E420" s="4">
        <f>198.434616386247 * CHOOSE(CONTROL!$C$9, $C$13, 100%, $E$13) + CHOOSE(CONTROL!$C$28, 0, 0)</f>
        <v>198.434616386247</v>
      </c>
    </row>
    <row r="421" spans="1:5" ht="15">
      <c r="A421" s="13">
        <v>54696</v>
      </c>
      <c r="B421" s="4">
        <f>32.7159 * CHOOSE(CONTROL!$C$9, $C$13, 100%, $E$13) + CHOOSE(CONTROL!$C$28, 0.0294, 0)</f>
        <v>32.7453</v>
      </c>
      <c r="C421" s="4">
        <f>32.4034 * CHOOSE(CONTROL!$C$9, $C$13, 100%, $E$13) + CHOOSE(CONTROL!$C$28, 0.0294, 0)</f>
        <v>32.4328</v>
      </c>
      <c r="D421" s="4">
        <f>39.0079 * CHOOSE(CONTROL!$C$9, $C$13, 100%, $E$13) + CHOOSE(CONTROL!$C$28, 0, 0)</f>
        <v>39.007899999999999</v>
      </c>
      <c r="E421" s="4">
        <f>190.526828131284 * CHOOSE(CONTROL!$C$9, $C$13, 100%, $E$13) + CHOOSE(CONTROL!$C$28, 0, 0)</f>
        <v>190.52682813128399</v>
      </c>
    </row>
    <row r="422" spans="1:5" ht="15">
      <c r="A422" s="13">
        <v>54727</v>
      </c>
      <c r="B422" s="4">
        <f>31.6912 * CHOOSE(CONTROL!$C$9, $C$13, 100%, $E$13) + CHOOSE(CONTROL!$C$28, 0.0003, 0)</f>
        <v>31.691499999999998</v>
      </c>
      <c r="C422" s="4">
        <f>31.3787 * CHOOSE(CONTROL!$C$9, $C$13, 100%, $E$13) + CHOOSE(CONTROL!$C$28, 0.0003, 0)</f>
        <v>31.378999999999998</v>
      </c>
      <c r="D422" s="4">
        <f>38.4964 * CHOOSE(CONTROL!$C$9, $C$13, 100%, $E$13) + CHOOSE(CONTROL!$C$28, 0, 0)</f>
        <v>38.496400000000001</v>
      </c>
      <c r="E422" s="4">
        <f>184.196486916134 * CHOOSE(CONTROL!$C$9, $C$13, 100%, $E$13) + CHOOSE(CONTROL!$C$28, 0, 0)</f>
        <v>184.19648691613401</v>
      </c>
    </row>
    <row r="423" spans="1:5" ht="15">
      <c r="A423" s="13">
        <v>54757</v>
      </c>
      <c r="B423" s="4">
        <f>31.0312 * CHOOSE(CONTROL!$C$9, $C$13, 100%, $E$13) + CHOOSE(CONTROL!$C$28, 0.0003, 0)</f>
        <v>31.031499999999998</v>
      </c>
      <c r="C423" s="4">
        <f>30.7187 * CHOOSE(CONTROL!$C$9, $C$13, 100%, $E$13) + CHOOSE(CONTROL!$C$28, 0.0003, 0)</f>
        <v>30.718999999999998</v>
      </c>
      <c r="D423" s="4">
        <f>38.3205 * CHOOSE(CONTROL!$C$9, $C$13, 100%, $E$13) + CHOOSE(CONTROL!$C$28, 0, 0)</f>
        <v>38.320500000000003</v>
      </c>
      <c r="E423" s="4">
        <f>180.119274453293 * CHOOSE(CONTROL!$C$9, $C$13, 100%, $E$13) + CHOOSE(CONTROL!$C$28, 0, 0)</f>
        <v>180.119274453293</v>
      </c>
    </row>
    <row r="424" spans="1:5" ht="15">
      <c r="A424" s="13">
        <v>54788</v>
      </c>
      <c r="B424" s="4">
        <f>30.5746 * CHOOSE(CONTROL!$C$9, $C$13, 100%, $E$13) + CHOOSE(CONTROL!$C$28, 0.0003, 0)</f>
        <v>30.5749</v>
      </c>
      <c r="C424" s="4">
        <f>30.2621 * CHOOSE(CONTROL!$C$9, $C$13, 100%, $E$13) + CHOOSE(CONTROL!$C$28, 0.0003, 0)</f>
        <v>30.2624</v>
      </c>
      <c r="D424" s="4">
        <f>37.0257 * CHOOSE(CONTROL!$C$9, $C$13, 100%, $E$13) + CHOOSE(CONTROL!$C$28, 0, 0)</f>
        <v>37.025700000000001</v>
      </c>
      <c r="E424" s="4">
        <f>177.298367531931 * CHOOSE(CONTROL!$C$9, $C$13, 100%, $E$13) + CHOOSE(CONTROL!$C$28, 0, 0)</f>
        <v>177.29836753193101</v>
      </c>
    </row>
    <row r="425" spans="1:5" ht="15">
      <c r="A425" s="13">
        <v>54819</v>
      </c>
      <c r="B425" s="4">
        <f>29.8327 * CHOOSE(CONTROL!$C$9, $C$13, 100%, $E$13) + CHOOSE(CONTROL!$C$28, 0.0003, 0)</f>
        <v>29.832999999999998</v>
      </c>
      <c r="C425" s="4">
        <f>29.5202 * CHOOSE(CONTROL!$C$9, $C$13, 100%, $E$13) + CHOOSE(CONTROL!$C$28, 0.0003, 0)</f>
        <v>29.520499999999998</v>
      </c>
      <c r="D425" s="4">
        <f>35.8357 * CHOOSE(CONTROL!$C$9, $C$13, 100%, $E$13) + CHOOSE(CONTROL!$C$28, 0, 0)</f>
        <v>35.835700000000003</v>
      </c>
      <c r="E425" s="4">
        <f>172.214125981445 * CHOOSE(CONTROL!$C$9, $C$13, 100%, $E$13) + CHOOSE(CONTROL!$C$28, 0, 0)</f>
        <v>172.21412598144499</v>
      </c>
    </row>
    <row r="426" spans="1:5" ht="15">
      <c r="A426" s="13">
        <v>54847</v>
      </c>
      <c r="B426" s="4">
        <f>30.4965 * CHOOSE(CONTROL!$C$9, $C$13, 100%, $E$13) + CHOOSE(CONTROL!$C$28, 0.0003, 0)</f>
        <v>30.4968</v>
      </c>
      <c r="C426" s="4">
        <f>30.184 * CHOOSE(CONTROL!$C$9, $C$13, 100%, $E$13) + CHOOSE(CONTROL!$C$28, 0.0003, 0)</f>
        <v>30.1843</v>
      </c>
      <c r="D426" s="4">
        <f>37.0341 * CHOOSE(CONTROL!$C$9, $C$13, 100%, $E$13) + CHOOSE(CONTROL!$C$28, 0, 0)</f>
        <v>37.034100000000002</v>
      </c>
      <c r="E426" s="4">
        <f>176.30316801252 * CHOOSE(CONTROL!$C$9, $C$13, 100%, $E$13) + CHOOSE(CONTROL!$C$28, 0, 0)</f>
        <v>176.30316801251999</v>
      </c>
    </row>
    <row r="427" spans="1:5" ht="15">
      <c r="A427" s="13">
        <v>54878</v>
      </c>
      <c r="B427" s="4">
        <f>32.2397 * CHOOSE(CONTROL!$C$9, $C$13, 100%, $E$13) + CHOOSE(CONTROL!$C$28, 0.0003, 0)</f>
        <v>32.24</v>
      </c>
      <c r="C427" s="4">
        <f>31.9272 * CHOOSE(CONTROL!$C$9, $C$13, 100%, $E$13) + CHOOSE(CONTROL!$C$28, 0.0003, 0)</f>
        <v>31.927499999999998</v>
      </c>
      <c r="D427" s="4">
        <f>38.91 * CHOOSE(CONTROL!$C$9, $C$13, 100%, $E$13) + CHOOSE(CONTROL!$C$28, 0, 0)</f>
        <v>38.909999999999997</v>
      </c>
      <c r="E427" s="4">
        <f>187.041209691012 * CHOOSE(CONTROL!$C$9, $C$13, 100%, $E$13) + CHOOSE(CONTROL!$C$28, 0, 0)</f>
        <v>187.041209691012</v>
      </c>
    </row>
    <row r="428" spans="1:5" ht="15">
      <c r="A428" s="13">
        <v>54908</v>
      </c>
      <c r="B428" s="4">
        <f>33.4783 * CHOOSE(CONTROL!$C$9, $C$13, 100%, $E$13) + CHOOSE(CONTROL!$C$28, 0.0003, 0)</f>
        <v>33.4786</v>
      </c>
      <c r="C428" s="4">
        <f>33.1658 * CHOOSE(CONTROL!$C$9, $C$13, 100%, $E$13) + CHOOSE(CONTROL!$C$28, 0.0003, 0)</f>
        <v>33.1661</v>
      </c>
      <c r="D428" s="4">
        <f>39.9905 * CHOOSE(CONTROL!$C$9, $C$13, 100%, $E$13) + CHOOSE(CONTROL!$C$28, 0, 0)</f>
        <v>39.990499999999997</v>
      </c>
      <c r="E428" s="4">
        <f>194.670731406802 * CHOOSE(CONTROL!$C$9, $C$13, 100%, $E$13) + CHOOSE(CONTROL!$C$28, 0, 0)</f>
        <v>194.67073140680199</v>
      </c>
    </row>
    <row r="429" spans="1:5" ht="15">
      <c r="A429" s="13">
        <v>54939</v>
      </c>
      <c r="B429" s="4">
        <f>34.2351 * CHOOSE(CONTROL!$C$9, $C$13, 100%, $E$13) + CHOOSE(CONTROL!$C$28, 0.0294, 0)</f>
        <v>34.264500000000005</v>
      </c>
      <c r="C429" s="4">
        <f>33.9226 * CHOOSE(CONTROL!$C$9, $C$13, 100%, $E$13) + CHOOSE(CONTROL!$C$28, 0.0294, 0)</f>
        <v>33.952000000000005</v>
      </c>
      <c r="D429" s="4">
        <f>39.5636 * CHOOSE(CONTROL!$C$9, $C$13, 100%, $E$13) + CHOOSE(CONTROL!$C$28, 0, 0)</f>
        <v>39.563600000000001</v>
      </c>
      <c r="E429" s="4">
        <f>199.332186321034 * CHOOSE(CONTROL!$C$9, $C$13, 100%, $E$13) + CHOOSE(CONTROL!$C$28, 0, 0)</f>
        <v>199.33218632103399</v>
      </c>
    </row>
    <row r="430" spans="1:5" ht="15">
      <c r="A430" s="13">
        <v>54969</v>
      </c>
      <c r="B430" s="4">
        <f>34.3375 * CHOOSE(CONTROL!$C$9, $C$13, 100%, $E$13) + CHOOSE(CONTROL!$C$28, 0.0294, 0)</f>
        <v>34.366900000000001</v>
      </c>
      <c r="C430" s="4">
        <f>34.025 * CHOOSE(CONTROL!$C$9, $C$13, 100%, $E$13) + CHOOSE(CONTROL!$C$28, 0.0294, 0)</f>
        <v>34.054400000000001</v>
      </c>
      <c r="D430" s="4">
        <f>39.9113 * CHOOSE(CONTROL!$C$9, $C$13, 100%, $E$13) + CHOOSE(CONTROL!$C$28, 0, 0)</f>
        <v>39.911299999999997</v>
      </c>
      <c r="E430" s="4">
        <f>199.962900516364 * CHOOSE(CONTROL!$C$9, $C$13, 100%, $E$13) + CHOOSE(CONTROL!$C$28, 0, 0)</f>
        <v>199.96290051636399</v>
      </c>
    </row>
    <row r="431" spans="1:5" ht="15">
      <c r="A431" s="13">
        <v>55000</v>
      </c>
      <c r="B431" s="4">
        <f>34.3272 * CHOOSE(CONTROL!$C$9, $C$13, 100%, $E$13) + CHOOSE(CONTROL!$C$28, 0.0294, 0)</f>
        <v>34.3566</v>
      </c>
      <c r="C431" s="4">
        <f>34.0147 * CHOOSE(CONTROL!$C$9, $C$13, 100%, $E$13) + CHOOSE(CONTROL!$C$28, 0.0294, 0)</f>
        <v>34.0441</v>
      </c>
      <c r="D431" s="4">
        <f>40.5388 * CHOOSE(CONTROL!$C$9, $C$13, 100%, $E$13) + CHOOSE(CONTROL!$C$28, 0, 0)</f>
        <v>40.538800000000002</v>
      </c>
      <c r="E431" s="4">
        <f>199.899299084903 * CHOOSE(CONTROL!$C$9, $C$13, 100%, $E$13) + CHOOSE(CONTROL!$C$28, 0, 0)</f>
        <v>199.89929908490299</v>
      </c>
    </row>
    <row r="432" spans="1:5" ht="15">
      <c r="A432" s="13">
        <v>55031</v>
      </c>
      <c r="B432" s="4">
        <f>35.1041 * CHOOSE(CONTROL!$C$9, $C$13, 100%, $E$13) + CHOOSE(CONTROL!$C$28, 0.0294, 0)</f>
        <v>35.133500000000005</v>
      </c>
      <c r="C432" s="4">
        <f>34.7916 * CHOOSE(CONTROL!$C$9, $C$13, 100%, $E$13) + CHOOSE(CONTROL!$C$28, 0.0294, 0)</f>
        <v>34.821000000000005</v>
      </c>
      <c r="D432" s="4">
        <f>40.1244 * CHOOSE(CONTROL!$C$9, $C$13, 100%, $E$13) + CHOOSE(CONTROL!$C$28, 0, 0)</f>
        <v>40.124400000000001</v>
      </c>
      <c r="E432" s="4">
        <f>204.685306802414 * CHOOSE(CONTROL!$C$9, $C$13, 100%, $E$13) + CHOOSE(CONTROL!$C$28, 0, 0)</f>
        <v>204.685306802414</v>
      </c>
    </row>
    <row r="433" spans="1:5" ht="15">
      <c r="A433" s="13">
        <v>55061</v>
      </c>
      <c r="B433" s="4">
        <f>33.7799 * CHOOSE(CONTROL!$C$9, $C$13, 100%, $E$13) + CHOOSE(CONTROL!$C$28, 0.0294, 0)</f>
        <v>33.8093</v>
      </c>
      <c r="C433" s="4">
        <f>33.4674 * CHOOSE(CONTROL!$C$9, $C$13, 100%, $E$13) + CHOOSE(CONTROL!$C$28, 0.0294, 0)</f>
        <v>33.4968</v>
      </c>
      <c r="D433" s="4">
        <f>39.9286 * CHOOSE(CONTROL!$C$9, $C$13, 100%, $E$13) + CHOOSE(CONTROL!$C$28, 0, 0)</f>
        <v>39.928600000000003</v>
      </c>
      <c r="E433" s="4">
        <f>196.528423217419 * CHOOSE(CONTROL!$C$9, $C$13, 100%, $E$13) + CHOOSE(CONTROL!$C$28, 0, 0)</f>
        <v>196.528423217419</v>
      </c>
    </row>
    <row r="434" spans="1:5" ht="15">
      <c r="A434" s="13">
        <v>55092</v>
      </c>
      <c r="B434" s="4">
        <f>32.7199 * CHOOSE(CONTROL!$C$9, $C$13, 100%, $E$13) + CHOOSE(CONTROL!$C$28, 0.0003, 0)</f>
        <v>32.720200000000006</v>
      </c>
      <c r="C434" s="4">
        <f>32.4074 * CHOOSE(CONTROL!$C$9, $C$13, 100%, $E$13) + CHOOSE(CONTROL!$C$28, 0.0003, 0)</f>
        <v>32.407700000000006</v>
      </c>
      <c r="D434" s="4">
        <f>39.4044 * CHOOSE(CONTROL!$C$9, $C$13, 100%, $E$13) + CHOOSE(CONTROL!$C$28, 0, 0)</f>
        <v>39.404400000000003</v>
      </c>
      <c r="E434" s="4">
        <f>189.998676253993 * CHOOSE(CONTROL!$C$9, $C$13, 100%, $E$13) + CHOOSE(CONTROL!$C$28, 0, 0)</f>
        <v>189.99867625399301</v>
      </c>
    </row>
    <row r="435" spans="1:5" ht="15">
      <c r="A435" s="13">
        <v>55122</v>
      </c>
      <c r="B435" s="4">
        <f>32.0371 * CHOOSE(CONTROL!$C$9, $C$13, 100%, $E$13) + CHOOSE(CONTROL!$C$28, 0.0003, 0)</f>
        <v>32.037400000000005</v>
      </c>
      <c r="C435" s="4">
        <f>31.7246 * CHOOSE(CONTROL!$C$9, $C$13, 100%, $E$13) + CHOOSE(CONTROL!$C$28, 0.0003, 0)</f>
        <v>31.724899999999998</v>
      </c>
      <c r="D435" s="4">
        <f>39.2241 * CHOOSE(CONTROL!$C$9, $C$13, 100%, $E$13) + CHOOSE(CONTROL!$C$28, 0, 0)</f>
        <v>39.2241</v>
      </c>
      <c r="E435" s="4">
        <f>185.793031598571 * CHOOSE(CONTROL!$C$9, $C$13, 100%, $E$13) + CHOOSE(CONTROL!$C$28, 0, 0)</f>
        <v>185.79303159857099</v>
      </c>
    </row>
    <row r="436" spans="1:5" ht="15">
      <c r="A436" s="13">
        <v>55153</v>
      </c>
      <c r="B436" s="4">
        <f>31.5647 * CHOOSE(CONTROL!$C$9, $C$13, 100%, $E$13) + CHOOSE(CONTROL!$C$28, 0.0003, 0)</f>
        <v>31.564999999999998</v>
      </c>
      <c r="C436" s="4">
        <f>31.2522 * CHOOSE(CONTROL!$C$9, $C$13, 100%, $E$13) + CHOOSE(CONTROL!$C$28, 0.0003, 0)</f>
        <v>31.252499999999998</v>
      </c>
      <c r="D436" s="4">
        <f>37.8973 * CHOOSE(CONTROL!$C$9, $C$13, 100%, $E$13) + CHOOSE(CONTROL!$C$28, 0, 0)</f>
        <v>37.897300000000001</v>
      </c>
      <c r="E436" s="4">
        <f>182.883266109187 * CHOOSE(CONTROL!$C$9, $C$13, 100%, $E$13) + CHOOSE(CONTROL!$C$28, 0, 0)</f>
        <v>182.88326610918699</v>
      </c>
    </row>
    <row r="437" spans="1:5" ht="15">
      <c r="A437" s="13">
        <v>55184</v>
      </c>
      <c r="B437" s="4">
        <f>30.7972 * CHOOSE(CONTROL!$C$9, $C$13, 100%, $E$13) + CHOOSE(CONTROL!$C$28, 0.0003, 0)</f>
        <v>30.797499999999999</v>
      </c>
      <c r="C437" s="4">
        <f>30.4847 * CHOOSE(CONTROL!$C$9, $C$13, 100%, $E$13) + CHOOSE(CONTROL!$C$28, 0.0003, 0)</f>
        <v>30.484999999999999</v>
      </c>
      <c r="D437" s="4">
        <f>36.6778 * CHOOSE(CONTROL!$C$9, $C$13, 100%, $E$13) + CHOOSE(CONTROL!$C$28, 0, 0)</f>
        <v>36.677799999999998</v>
      </c>
      <c r="E437" s="4">
        <f>177.638870949861 * CHOOSE(CONTROL!$C$9, $C$13, 100%, $E$13) + CHOOSE(CONTROL!$C$28, 0, 0)</f>
        <v>177.638870949861</v>
      </c>
    </row>
    <row r="438" spans="1:5" ht="15">
      <c r="A438" s="13">
        <v>55212</v>
      </c>
      <c r="B438" s="4">
        <f>31.4839 * CHOOSE(CONTROL!$C$9, $C$13, 100%, $E$13) + CHOOSE(CONTROL!$C$28, 0.0003, 0)</f>
        <v>31.484199999999998</v>
      </c>
      <c r="C438" s="4">
        <f>31.1714 * CHOOSE(CONTROL!$C$9, $C$13, 100%, $E$13) + CHOOSE(CONTROL!$C$28, 0.0003, 0)</f>
        <v>31.171699999999998</v>
      </c>
      <c r="D438" s="4">
        <f>37.9058 * CHOOSE(CONTROL!$C$9, $C$13, 100%, $E$13) + CHOOSE(CONTROL!$C$28, 0, 0)</f>
        <v>37.905799999999999</v>
      </c>
      <c r="E438" s="4">
        <f>181.856717804914 * CHOOSE(CONTROL!$C$9, $C$13, 100%, $E$13) + CHOOSE(CONTROL!$C$28, 0, 0)</f>
        <v>181.85671780491401</v>
      </c>
    </row>
    <row r="439" spans="1:5" ht="15">
      <c r="A439" s="13">
        <v>55243</v>
      </c>
      <c r="B439" s="4">
        <f>33.2873 * CHOOSE(CONTROL!$C$9, $C$13, 100%, $E$13) + CHOOSE(CONTROL!$C$28, 0.0003, 0)</f>
        <v>33.287600000000005</v>
      </c>
      <c r="C439" s="4">
        <f>32.9748 * CHOOSE(CONTROL!$C$9, $C$13, 100%, $E$13) + CHOOSE(CONTROL!$C$28, 0.0003, 0)</f>
        <v>32.975100000000005</v>
      </c>
      <c r="D439" s="4">
        <f>39.8282 * CHOOSE(CONTROL!$C$9, $C$13, 100%, $E$13) + CHOOSE(CONTROL!$C$28, 0, 0)</f>
        <v>39.828200000000002</v>
      </c>
      <c r="E439" s="4">
        <f>192.933007796279 * CHOOSE(CONTROL!$C$9, $C$13, 100%, $E$13) + CHOOSE(CONTROL!$C$28, 0, 0)</f>
        <v>192.93300779627901</v>
      </c>
    </row>
    <row r="440" spans="1:5" ht="15">
      <c r="A440" s="13">
        <v>55273</v>
      </c>
      <c r="B440" s="4">
        <f>34.5687 * CHOOSE(CONTROL!$C$9, $C$13, 100%, $E$13) + CHOOSE(CONTROL!$C$28, 0.0003, 0)</f>
        <v>34.569000000000003</v>
      </c>
      <c r="C440" s="4">
        <f>34.2562 * CHOOSE(CONTROL!$C$9, $C$13, 100%, $E$13) + CHOOSE(CONTROL!$C$28, 0.0003, 0)</f>
        <v>34.256500000000003</v>
      </c>
      <c r="D440" s="4">
        <f>40.9356 * CHOOSE(CONTROL!$C$9, $C$13, 100%, $E$13) + CHOOSE(CONTROL!$C$28, 0, 0)</f>
        <v>40.935600000000001</v>
      </c>
      <c r="E440" s="4">
        <f>200.802859446116 * CHOOSE(CONTROL!$C$9, $C$13, 100%, $E$13) + CHOOSE(CONTROL!$C$28, 0, 0)</f>
        <v>200.802859446116</v>
      </c>
    </row>
    <row r="441" spans="1:5" ht="15">
      <c r="A441" s="13">
        <v>55304</v>
      </c>
      <c r="B441" s="4">
        <f>35.3515 * CHOOSE(CONTROL!$C$9, $C$13, 100%, $E$13) + CHOOSE(CONTROL!$C$28, 0.0294, 0)</f>
        <v>35.380900000000004</v>
      </c>
      <c r="C441" s="4">
        <f>35.039 * CHOOSE(CONTROL!$C$9, $C$13, 100%, $E$13) + CHOOSE(CONTROL!$C$28, 0.0294, 0)</f>
        <v>35.068400000000004</v>
      </c>
      <c r="D441" s="4">
        <f>40.498 * CHOOSE(CONTROL!$C$9, $C$13, 100%, $E$13) + CHOOSE(CONTROL!$C$28, 0, 0)</f>
        <v>40.497999999999998</v>
      </c>
      <c r="E441" s="4">
        <f>205.611150190146 * CHOOSE(CONTROL!$C$9, $C$13, 100%, $E$13) + CHOOSE(CONTROL!$C$28, 0, 0)</f>
        <v>205.61115019014599</v>
      </c>
    </row>
    <row r="442" spans="1:5" ht="15">
      <c r="A442" s="13">
        <v>55334</v>
      </c>
      <c r="B442" s="4">
        <f>35.4574 * CHOOSE(CONTROL!$C$9, $C$13, 100%, $E$13) + CHOOSE(CONTROL!$C$28, 0.0294, 0)</f>
        <v>35.486800000000002</v>
      </c>
      <c r="C442" s="4">
        <f>35.1449 * CHOOSE(CONTROL!$C$9, $C$13, 100%, $E$13) + CHOOSE(CONTROL!$C$28, 0.0294, 0)</f>
        <v>35.174300000000002</v>
      </c>
      <c r="D442" s="4">
        <f>40.8544 * CHOOSE(CONTROL!$C$9, $C$13, 100%, $E$13) + CHOOSE(CONTROL!$C$28, 0, 0)</f>
        <v>40.854399999999998</v>
      </c>
      <c r="E442" s="4">
        <f>206.26173188263 * CHOOSE(CONTROL!$C$9, $C$13, 100%, $E$13) + CHOOSE(CONTROL!$C$28, 0, 0)</f>
        <v>206.26173188262999</v>
      </c>
    </row>
    <row r="443" spans="1:5" ht="15">
      <c r="A443" s="13">
        <v>55365</v>
      </c>
      <c r="B443" s="4">
        <f>35.4468 * CHOOSE(CONTROL!$C$9, $C$13, 100%, $E$13) + CHOOSE(CONTROL!$C$28, 0.0294, 0)</f>
        <v>35.476200000000006</v>
      </c>
      <c r="C443" s="4">
        <f>35.1343 * CHOOSE(CONTROL!$C$9, $C$13, 100%, $E$13) + CHOOSE(CONTROL!$C$28, 0.0294, 0)</f>
        <v>35.163700000000006</v>
      </c>
      <c r="D443" s="4">
        <f>41.4975 * CHOOSE(CONTROL!$C$9, $C$13, 100%, $E$13) + CHOOSE(CONTROL!$C$28, 0, 0)</f>
        <v>41.497500000000002</v>
      </c>
      <c r="E443" s="4">
        <f>206.196127006077 * CHOOSE(CONTROL!$C$9, $C$13, 100%, $E$13) + CHOOSE(CONTROL!$C$28, 0, 0)</f>
        <v>206.19612700607701</v>
      </c>
    </row>
    <row r="444" spans="1:5" ht="15">
      <c r="A444" s="13">
        <v>55396</v>
      </c>
      <c r="B444" s="4">
        <f>36.2505 * CHOOSE(CONTROL!$C$9, $C$13, 100%, $E$13) + CHOOSE(CONTROL!$C$28, 0.0294, 0)</f>
        <v>36.279900000000005</v>
      </c>
      <c r="C444" s="4">
        <f>35.938 * CHOOSE(CONTROL!$C$9, $C$13, 100%, $E$13) + CHOOSE(CONTROL!$C$28, 0.0294, 0)</f>
        <v>35.967400000000005</v>
      </c>
      <c r="D444" s="4">
        <f>41.0728 * CHOOSE(CONTROL!$C$9, $C$13, 100%, $E$13) + CHOOSE(CONTROL!$C$28, 0, 0)</f>
        <v>41.072800000000001</v>
      </c>
      <c r="E444" s="4">
        <f>211.13289396669 * CHOOSE(CONTROL!$C$9, $C$13, 100%, $E$13) + CHOOSE(CONTROL!$C$28, 0, 0)</f>
        <v>211.13289396669001</v>
      </c>
    </row>
    <row r="445" spans="1:5" ht="15">
      <c r="A445" s="13">
        <v>55426</v>
      </c>
      <c r="B445" s="4">
        <f>34.8806 * CHOOSE(CONTROL!$C$9, $C$13, 100%, $E$13) + CHOOSE(CONTROL!$C$28, 0.0294, 0)</f>
        <v>34.910000000000004</v>
      </c>
      <c r="C445" s="4">
        <f>34.5681 * CHOOSE(CONTROL!$C$9, $C$13, 100%, $E$13) + CHOOSE(CONTROL!$C$28, 0.0294, 0)</f>
        <v>34.597500000000004</v>
      </c>
      <c r="D445" s="4">
        <f>40.8721 * CHOOSE(CONTROL!$C$9, $C$13, 100%, $E$13) + CHOOSE(CONTROL!$C$28, 0, 0)</f>
        <v>40.872100000000003</v>
      </c>
      <c r="E445" s="4">
        <f>202.719068548768 * CHOOSE(CONTROL!$C$9, $C$13, 100%, $E$13) + CHOOSE(CONTROL!$C$28, 0, 0)</f>
        <v>202.71906854876801</v>
      </c>
    </row>
    <row r="446" spans="1:5" ht="15">
      <c r="A446" s="13">
        <v>55457</v>
      </c>
      <c r="B446" s="4">
        <f>33.784 * CHOOSE(CONTROL!$C$9, $C$13, 100%, $E$13) + CHOOSE(CONTROL!$C$28, 0.0003, 0)</f>
        <v>33.784300000000002</v>
      </c>
      <c r="C446" s="4">
        <f>33.4715 * CHOOSE(CONTROL!$C$9, $C$13, 100%, $E$13) + CHOOSE(CONTROL!$C$28, 0.0003, 0)</f>
        <v>33.471800000000002</v>
      </c>
      <c r="D446" s="4">
        <f>40.3349 * CHOOSE(CONTROL!$C$9, $C$13, 100%, $E$13) + CHOOSE(CONTROL!$C$28, 0, 0)</f>
        <v>40.334899999999998</v>
      </c>
      <c r="E446" s="4">
        <f>195.983634555993 * CHOOSE(CONTROL!$C$9, $C$13, 100%, $E$13) + CHOOSE(CONTROL!$C$28, 0, 0)</f>
        <v>195.98363455599301</v>
      </c>
    </row>
    <row r="447" spans="1:5" ht="15">
      <c r="A447" s="13">
        <v>55487</v>
      </c>
      <c r="B447" s="4">
        <f>33.0777 * CHOOSE(CONTROL!$C$9, $C$13, 100%, $E$13) + CHOOSE(CONTROL!$C$28, 0.0003, 0)</f>
        <v>33.078000000000003</v>
      </c>
      <c r="C447" s="4">
        <f>32.7652 * CHOOSE(CONTROL!$C$9, $C$13, 100%, $E$13) + CHOOSE(CONTROL!$C$28, 0.0003, 0)</f>
        <v>32.765500000000003</v>
      </c>
      <c r="D447" s="4">
        <f>40.1502 * CHOOSE(CONTROL!$C$9, $C$13, 100%, $E$13) + CHOOSE(CONTROL!$C$28, 0, 0)</f>
        <v>40.150199999999998</v>
      </c>
      <c r="E447" s="4">
        <f>191.645512093926 * CHOOSE(CONTROL!$C$9, $C$13, 100%, $E$13) + CHOOSE(CONTROL!$C$28, 0, 0)</f>
        <v>191.64551209392599</v>
      </c>
    </row>
    <row r="448" spans="1:5" ht="15">
      <c r="A448" s="13">
        <v>55518</v>
      </c>
      <c r="B448" s="4">
        <f>32.589 * CHOOSE(CONTROL!$C$9, $C$13, 100%, $E$13) + CHOOSE(CONTROL!$C$28, 0.0003, 0)</f>
        <v>32.589300000000001</v>
      </c>
      <c r="C448" s="4">
        <f>32.2765 * CHOOSE(CONTROL!$C$9, $C$13, 100%, $E$13) + CHOOSE(CONTROL!$C$28, 0.0003, 0)</f>
        <v>32.276800000000001</v>
      </c>
      <c r="D448" s="4">
        <f>38.7904 * CHOOSE(CONTROL!$C$9, $C$13, 100%, $E$13) + CHOOSE(CONTROL!$C$28, 0, 0)</f>
        <v>38.790399999999998</v>
      </c>
      <c r="E448" s="4">
        <f>188.644088991627 * CHOOSE(CONTROL!$C$9, $C$13, 100%, $E$13) + CHOOSE(CONTROL!$C$28, 0, 0)</f>
        <v>188.644088991627</v>
      </c>
    </row>
    <row r="449" spans="1:5" ht="15">
      <c r="A449" s="13">
        <v>55549</v>
      </c>
      <c r="B449" s="4">
        <f>31.795 * CHOOSE(CONTROL!$C$9, $C$13, 100%, $E$13) + CHOOSE(CONTROL!$C$28, 0.0003, 0)</f>
        <v>31.795300000000001</v>
      </c>
      <c r="C449" s="4">
        <f>31.4825 * CHOOSE(CONTROL!$C$9, $C$13, 100%, $E$13) + CHOOSE(CONTROL!$C$28, 0.0003, 0)</f>
        <v>31.482800000000001</v>
      </c>
      <c r="D449" s="4">
        <f>37.5407 * CHOOSE(CONTROL!$C$9, $C$13, 100%, $E$13) + CHOOSE(CONTROL!$C$28, 0, 0)</f>
        <v>37.540700000000001</v>
      </c>
      <c r="E449" s="4">
        <f>183.234495384782 * CHOOSE(CONTROL!$C$9, $C$13, 100%, $E$13) + CHOOSE(CONTROL!$C$28, 0, 0)</f>
        <v>183.23449538478201</v>
      </c>
    </row>
    <row r="450" spans="1:5" ht="15">
      <c r="A450" s="13">
        <v>55577</v>
      </c>
      <c r="B450" s="4">
        <f>32.5055 * CHOOSE(CONTROL!$C$9, $C$13, 100%, $E$13) + CHOOSE(CONTROL!$C$28, 0.0003, 0)</f>
        <v>32.505800000000001</v>
      </c>
      <c r="C450" s="4">
        <f>32.193 * CHOOSE(CONTROL!$C$9, $C$13, 100%, $E$13) + CHOOSE(CONTROL!$C$28, 0.0003, 0)</f>
        <v>32.193300000000001</v>
      </c>
      <c r="D450" s="4">
        <f>38.7992 * CHOOSE(CONTROL!$C$9, $C$13, 100%, $E$13) + CHOOSE(CONTROL!$C$28, 0, 0)</f>
        <v>38.799199999999999</v>
      </c>
      <c r="E450" s="4">
        <f>187.585204415769 * CHOOSE(CONTROL!$C$9, $C$13, 100%, $E$13) + CHOOSE(CONTROL!$C$28, 0, 0)</f>
        <v>187.585204415769</v>
      </c>
    </row>
    <row r="451" spans="1:5" ht="15">
      <c r="A451" s="13">
        <v>55609</v>
      </c>
      <c r="B451" s="4">
        <f>34.3711 * CHOOSE(CONTROL!$C$9, $C$13, 100%, $E$13) + CHOOSE(CONTROL!$C$28, 0.0003, 0)</f>
        <v>34.371400000000001</v>
      </c>
      <c r="C451" s="4">
        <f>34.0586 * CHOOSE(CONTROL!$C$9, $C$13, 100%, $E$13) + CHOOSE(CONTROL!$C$28, 0.0003, 0)</f>
        <v>34.058900000000001</v>
      </c>
      <c r="D451" s="4">
        <f>40.7693 * CHOOSE(CONTROL!$C$9, $C$13, 100%, $E$13) + CHOOSE(CONTROL!$C$28, 0, 0)</f>
        <v>40.769300000000001</v>
      </c>
      <c r="E451" s="4">
        <f>199.010397541862 * CHOOSE(CONTROL!$C$9, $C$13, 100%, $E$13) + CHOOSE(CONTROL!$C$28, 0, 0)</f>
        <v>199.01039754186201</v>
      </c>
    </row>
    <row r="452" spans="1:5" ht="15">
      <c r="A452" s="13">
        <v>55639</v>
      </c>
      <c r="B452" s="4">
        <f>35.6966 * CHOOSE(CONTROL!$C$9, $C$13, 100%, $E$13) + CHOOSE(CONTROL!$C$28, 0.0003, 0)</f>
        <v>35.696899999999999</v>
      </c>
      <c r="C452" s="4">
        <f>35.3841 * CHOOSE(CONTROL!$C$9, $C$13, 100%, $E$13) + CHOOSE(CONTROL!$C$28, 0.0003, 0)</f>
        <v>35.384399999999999</v>
      </c>
      <c r="D452" s="4">
        <f>41.9041 * CHOOSE(CONTROL!$C$9, $C$13, 100%, $E$13) + CHOOSE(CONTROL!$C$28, 0, 0)</f>
        <v>41.9041</v>
      </c>
      <c r="E452" s="4">
        <f>207.128149518669 * CHOOSE(CONTROL!$C$9, $C$13, 100%, $E$13) + CHOOSE(CONTROL!$C$28, 0, 0)</f>
        <v>207.12814951866901</v>
      </c>
    </row>
    <row r="453" spans="1:5" ht="15">
      <c r="A453" s="13">
        <v>55670</v>
      </c>
      <c r="B453" s="4">
        <f>36.5065 * CHOOSE(CONTROL!$C$9, $C$13, 100%, $E$13) + CHOOSE(CONTROL!$C$28, 0.0294, 0)</f>
        <v>36.535900000000005</v>
      </c>
      <c r="C453" s="4">
        <f>36.194 * CHOOSE(CONTROL!$C$9, $C$13, 100%, $E$13) + CHOOSE(CONTROL!$C$28, 0.0294, 0)</f>
        <v>36.223400000000005</v>
      </c>
      <c r="D453" s="4">
        <f>41.4557 * CHOOSE(CONTROL!$C$9, $C$13, 100%, $E$13) + CHOOSE(CONTROL!$C$28, 0, 0)</f>
        <v>41.4557</v>
      </c>
      <c r="E453" s="4">
        <f>212.087901421136 * CHOOSE(CONTROL!$C$9, $C$13, 100%, $E$13) + CHOOSE(CONTROL!$C$28, 0, 0)</f>
        <v>212.087901421136</v>
      </c>
    </row>
    <row r="454" spans="1:5" ht="15">
      <c r="A454" s="13">
        <v>55700</v>
      </c>
      <c r="B454" s="4">
        <f>36.616 * CHOOSE(CONTROL!$C$9, $C$13, 100%, $E$13) + CHOOSE(CONTROL!$C$28, 0.0294, 0)</f>
        <v>36.645400000000002</v>
      </c>
      <c r="C454" s="4">
        <f>36.3035 * CHOOSE(CONTROL!$C$9, $C$13, 100%, $E$13) + CHOOSE(CONTROL!$C$28, 0.0294, 0)</f>
        <v>36.332900000000002</v>
      </c>
      <c r="D454" s="4">
        <f>41.8209 * CHOOSE(CONTROL!$C$9, $C$13, 100%, $E$13) + CHOOSE(CONTROL!$C$28, 0, 0)</f>
        <v>41.820900000000002</v>
      </c>
      <c r="E454" s="4">
        <f>212.758976436933 * CHOOSE(CONTROL!$C$9, $C$13, 100%, $E$13) + CHOOSE(CONTROL!$C$28, 0, 0)</f>
        <v>212.75897643693301</v>
      </c>
    </row>
    <row r="455" spans="1:5" ht="15">
      <c r="A455" s="13">
        <v>55731</v>
      </c>
      <c r="B455" s="4">
        <f>36.605 * CHOOSE(CONTROL!$C$9, $C$13, 100%, $E$13) + CHOOSE(CONTROL!$C$28, 0.0294, 0)</f>
        <v>36.634399999999999</v>
      </c>
      <c r="C455" s="4">
        <f>36.2925 * CHOOSE(CONTROL!$C$9, $C$13, 100%, $E$13) + CHOOSE(CONTROL!$C$28, 0.0294, 0)</f>
        <v>36.321899999999999</v>
      </c>
      <c r="D455" s="4">
        <f>42.4799 * CHOOSE(CONTROL!$C$9, $C$13, 100%, $E$13) + CHOOSE(CONTROL!$C$28, 0, 0)</f>
        <v>42.479900000000001</v>
      </c>
      <c r="E455" s="4">
        <f>212.691305006768 * CHOOSE(CONTROL!$C$9, $C$13, 100%, $E$13) + CHOOSE(CONTROL!$C$28, 0, 0)</f>
        <v>212.691305006768</v>
      </c>
    </row>
    <row r="456" spans="1:5" ht="15">
      <c r="A456" s="13">
        <v>55762</v>
      </c>
      <c r="B456" s="4">
        <f>37.4365 * CHOOSE(CONTROL!$C$9, $C$13, 100%, $E$13) + CHOOSE(CONTROL!$C$28, 0.0294, 0)</f>
        <v>37.465900000000005</v>
      </c>
      <c r="C456" s="4">
        <f>37.124 * CHOOSE(CONTROL!$C$9, $C$13, 100%, $E$13) + CHOOSE(CONTROL!$C$28, 0.0294, 0)</f>
        <v>37.153400000000005</v>
      </c>
      <c r="D456" s="4">
        <f>42.0447 * CHOOSE(CONTROL!$C$9, $C$13, 100%, $E$13) + CHOOSE(CONTROL!$C$28, 0, 0)</f>
        <v>42.044699999999999</v>
      </c>
      <c r="E456" s="4">
        <f>217.783580126641 * CHOOSE(CONTROL!$C$9, $C$13, 100%, $E$13) + CHOOSE(CONTROL!$C$28, 0, 0)</f>
        <v>217.783580126641</v>
      </c>
    </row>
    <row r="457" spans="1:5" ht="15">
      <c r="A457" s="13">
        <v>55792</v>
      </c>
      <c r="B457" s="4">
        <f>36.0193 * CHOOSE(CONTROL!$C$9, $C$13, 100%, $E$13) + CHOOSE(CONTROL!$C$28, 0.0294, 0)</f>
        <v>36.048700000000004</v>
      </c>
      <c r="C457" s="4">
        <f>35.7068 * CHOOSE(CONTROL!$C$9, $C$13, 100%, $E$13) + CHOOSE(CONTROL!$C$28, 0.0294, 0)</f>
        <v>35.736200000000004</v>
      </c>
      <c r="D457" s="4">
        <f>41.8391 * CHOOSE(CONTROL!$C$9, $C$13, 100%, $E$13) + CHOOSE(CONTROL!$C$28, 0, 0)</f>
        <v>41.839100000000002</v>
      </c>
      <c r="E457" s="4">
        <f>209.104719208054 * CHOOSE(CONTROL!$C$9, $C$13, 100%, $E$13) + CHOOSE(CONTROL!$C$28, 0, 0)</f>
        <v>209.10471920805401</v>
      </c>
    </row>
    <row r="458" spans="1:5" ht="15">
      <c r="A458" s="13">
        <v>55823</v>
      </c>
      <c r="B458" s="4">
        <f>34.8849 * CHOOSE(CONTROL!$C$9, $C$13, 100%, $E$13) + CHOOSE(CONTROL!$C$28, 0.0003, 0)</f>
        <v>34.885200000000005</v>
      </c>
      <c r="C458" s="4">
        <f>34.5724 * CHOOSE(CONTROL!$C$9, $C$13, 100%, $E$13) + CHOOSE(CONTROL!$C$28, 0.0003, 0)</f>
        <v>34.572700000000005</v>
      </c>
      <c r="D458" s="4">
        <f>41.2885 * CHOOSE(CONTROL!$C$9, $C$13, 100%, $E$13) + CHOOSE(CONTROL!$C$28, 0, 0)</f>
        <v>41.288499999999999</v>
      </c>
      <c r="E458" s="4">
        <f>202.157119044507 * CHOOSE(CONTROL!$C$9, $C$13, 100%, $E$13) + CHOOSE(CONTROL!$C$28, 0, 0)</f>
        <v>202.157119044507</v>
      </c>
    </row>
    <row r="459" spans="1:5" ht="15">
      <c r="A459" s="13">
        <v>55853</v>
      </c>
      <c r="B459" s="4">
        <f>34.1542 * CHOOSE(CONTROL!$C$9, $C$13, 100%, $E$13) + CHOOSE(CONTROL!$C$28, 0.0003, 0)</f>
        <v>34.154500000000006</v>
      </c>
      <c r="C459" s="4">
        <f>33.8417 * CHOOSE(CONTROL!$C$9, $C$13, 100%, $E$13) + CHOOSE(CONTROL!$C$28, 0.0003, 0)</f>
        <v>33.842000000000006</v>
      </c>
      <c r="D459" s="4">
        <f>41.0992 * CHOOSE(CONTROL!$C$9, $C$13, 100%, $E$13) + CHOOSE(CONTROL!$C$28, 0, 0)</f>
        <v>41.099200000000003</v>
      </c>
      <c r="E459" s="4">
        <f>197.682345724885 * CHOOSE(CONTROL!$C$9, $C$13, 100%, $E$13) + CHOOSE(CONTROL!$C$28, 0, 0)</f>
        <v>197.68234572488501</v>
      </c>
    </row>
    <row r="460" spans="1:5" ht="15">
      <c r="A460" s="13">
        <v>55884</v>
      </c>
      <c r="B460" s="4">
        <f>33.6487 * CHOOSE(CONTROL!$C$9, $C$13, 100%, $E$13) + CHOOSE(CONTROL!$C$28, 0.0003, 0)</f>
        <v>33.649000000000001</v>
      </c>
      <c r="C460" s="4">
        <f>33.3362 * CHOOSE(CONTROL!$C$9, $C$13, 100%, $E$13) + CHOOSE(CONTROL!$C$28, 0.0003, 0)</f>
        <v>33.336500000000001</v>
      </c>
      <c r="D460" s="4">
        <f>39.7057 * CHOOSE(CONTROL!$C$9, $C$13, 100%, $E$13) + CHOOSE(CONTROL!$C$28, 0, 0)</f>
        <v>39.7057</v>
      </c>
      <c r="E460" s="4">
        <f>194.586377794863 * CHOOSE(CONTROL!$C$9, $C$13, 100%, $E$13) + CHOOSE(CONTROL!$C$28, 0, 0)</f>
        <v>194.58637779486301</v>
      </c>
    </row>
    <row r="461" spans="1:5" ht="15">
      <c r="A461" s="13">
        <v>55915</v>
      </c>
      <c r="B461" s="4">
        <f>32.8273 * CHOOSE(CONTROL!$C$9, $C$13, 100%, $E$13) + CHOOSE(CONTROL!$C$28, 0.0003, 0)</f>
        <v>32.827600000000004</v>
      </c>
      <c r="C461" s="4">
        <f>32.5148 * CHOOSE(CONTROL!$C$9, $C$13, 100%, $E$13) + CHOOSE(CONTROL!$C$28, 0.0003, 0)</f>
        <v>32.515100000000004</v>
      </c>
      <c r="D461" s="4">
        <f>38.425 * CHOOSE(CONTROL!$C$9, $C$13, 100%, $E$13) + CHOOSE(CONTROL!$C$28, 0, 0)</f>
        <v>38.424999999999997</v>
      </c>
      <c r="E461" s="4">
        <f>189.006381989402 * CHOOSE(CONTROL!$C$9, $C$13, 100%, $E$13) + CHOOSE(CONTROL!$C$28, 0, 0)</f>
        <v>189.006381989402</v>
      </c>
    </row>
    <row r="462" spans="1:5" ht="15">
      <c r="A462" s="13">
        <v>55943</v>
      </c>
      <c r="B462" s="4">
        <f>33.5622 * CHOOSE(CONTROL!$C$9, $C$13, 100%, $E$13) + CHOOSE(CONTROL!$C$28, 0.0003, 0)</f>
        <v>33.5625</v>
      </c>
      <c r="C462" s="4">
        <f>33.2497 * CHOOSE(CONTROL!$C$9, $C$13, 100%, $E$13) + CHOOSE(CONTROL!$C$28, 0.0003, 0)</f>
        <v>33.25</v>
      </c>
      <c r="D462" s="4">
        <f>39.7147 * CHOOSE(CONTROL!$C$9, $C$13, 100%, $E$13) + CHOOSE(CONTROL!$C$28, 0, 0)</f>
        <v>39.714700000000001</v>
      </c>
      <c r="E462" s="4">
        <f>193.494138354866 * CHOOSE(CONTROL!$C$9, $C$13, 100%, $E$13) + CHOOSE(CONTROL!$C$28, 0, 0)</f>
        <v>193.49413835486601</v>
      </c>
    </row>
    <row r="463" spans="1:5" ht="15">
      <c r="A463" s="13">
        <v>55974</v>
      </c>
      <c r="B463" s="4">
        <f>35.4922 * CHOOSE(CONTROL!$C$9, $C$13, 100%, $E$13) + CHOOSE(CONTROL!$C$28, 0.0003, 0)</f>
        <v>35.4925</v>
      </c>
      <c r="C463" s="4">
        <f>35.1797 * CHOOSE(CONTROL!$C$9, $C$13, 100%, $E$13) + CHOOSE(CONTROL!$C$28, 0.0003, 0)</f>
        <v>35.18</v>
      </c>
      <c r="D463" s="4">
        <f>41.7337 * CHOOSE(CONTROL!$C$9, $C$13, 100%, $E$13) + CHOOSE(CONTROL!$C$28, 0, 0)</f>
        <v>41.733699999999999</v>
      </c>
      <c r="E463" s="4">
        <f>205.27922506443 * CHOOSE(CONTROL!$C$9, $C$13, 100%, $E$13) + CHOOSE(CONTROL!$C$28, 0, 0)</f>
        <v>205.27922506442999</v>
      </c>
    </row>
    <row r="464" spans="1:5" ht="15">
      <c r="A464" s="13">
        <v>56004</v>
      </c>
      <c r="B464" s="4">
        <f>36.8634 * CHOOSE(CONTROL!$C$9, $C$13, 100%, $E$13) + CHOOSE(CONTROL!$C$28, 0.0003, 0)</f>
        <v>36.863700000000001</v>
      </c>
      <c r="C464" s="4">
        <f>36.5509 * CHOOSE(CONTROL!$C$9, $C$13, 100%, $E$13) + CHOOSE(CONTROL!$C$28, 0.0003, 0)</f>
        <v>36.551200000000001</v>
      </c>
      <c r="D464" s="4">
        <f>42.8967 * CHOOSE(CONTROL!$C$9, $C$13, 100%, $E$13) + CHOOSE(CONTROL!$C$28, 0, 0)</f>
        <v>42.896700000000003</v>
      </c>
      <c r="E464" s="4">
        <f>213.652686228507 * CHOOSE(CONTROL!$C$9, $C$13, 100%, $E$13) + CHOOSE(CONTROL!$C$28, 0, 0)</f>
        <v>213.65268622850701</v>
      </c>
    </row>
    <row r="465" spans="1:5" ht="15">
      <c r="A465" s="13">
        <v>56035</v>
      </c>
      <c r="B465" s="4">
        <f>37.7012 * CHOOSE(CONTROL!$C$9, $C$13, 100%, $E$13) + CHOOSE(CONTROL!$C$28, 0.0294, 0)</f>
        <v>37.730600000000003</v>
      </c>
      <c r="C465" s="4">
        <f>37.3887 * CHOOSE(CONTROL!$C$9, $C$13, 100%, $E$13) + CHOOSE(CONTROL!$C$28, 0.0294, 0)</f>
        <v>37.418100000000003</v>
      </c>
      <c r="D465" s="4">
        <f>42.4371 * CHOOSE(CONTROL!$C$9, $C$13, 100%, $E$13) + CHOOSE(CONTROL!$C$28, 0, 0)</f>
        <v>42.437100000000001</v>
      </c>
      <c r="E465" s="4">
        <f>218.768670315901 * CHOOSE(CONTROL!$C$9, $C$13, 100%, $E$13) + CHOOSE(CONTROL!$C$28, 0, 0)</f>
        <v>218.76867031590101</v>
      </c>
    </row>
    <row r="466" spans="1:5" ht="15">
      <c r="A466" s="13">
        <v>56065</v>
      </c>
      <c r="B466" s="4">
        <f>37.8146 * CHOOSE(CONTROL!$C$9, $C$13, 100%, $E$13) + CHOOSE(CONTROL!$C$28, 0.0294, 0)</f>
        <v>37.844000000000001</v>
      </c>
      <c r="C466" s="4">
        <f>37.5021 * CHOOSE(CONTROL!$C$9, $C$13, 100%, $E$13) + CHOOSE(CONTROL!$C$28, 0.0294, 0)</f>
        <v>37.531500000000001</v>
      </c>
      <c r="D466" s="4">
        <f>42.8114 * CHOOSE(CONTROL!$C$9, $C$13, 100%, $E$13) + CHOOSE(CONTROL!$C$28, 0, 0)</f>
        <v>42.811399999999999</v>
      </c>
      <c r="E466" s="4">
        <f>219.460884194696 * CHOOSE(CONTROL!$C$9, $C$13, 100%, $E$13) + CHOOSE(CONTROL!$C$28, 0, 0)</f>
        <v>219.46088419469601</v>
      </c>
    </row>
    <row r="467" spans="1:5" ht="15">
      <c r="A467" s="13">
        <v>56096</v>
      </c>
      <c r="B467" s="4">
        <f>37.8032 * CHOOSE(CONTROL!$C$9, $C$13, 100%, $E$13) + CHOOSE(CONTROL!$C$28, 0.0294, 0)</f>
        <v>37.832599999999999</v>
      </c>
      <c r="C467" s="4">
        <f>37.4907 * CHOOSE(CONTROL!$C$9, $C$13, 100%, $E$13) + CHOOSE(CONTROL!$C$28, 0.0294, 0)</f>
        <v>37.520099999999999</v>
      </c>
      <c r="D467" s="4">
        <f>43.4867 * CHOOSE(CONTROL!$C$9, $C$13, 100%, $E$13) + CHOOSE(CONTROL!$C$28, 0, 0)</f>
        <v>43.486699999999999</v>
      </c>
      <c r="E467" s="4">
        <f>219.391081114482 * CHOOSE(CONTROL!$C$9, $C$13, 100%, $E$13) + CHOOSE(CONTROL!$C$28, 0, 0)</f>
        <v>219.39108111448201</v>
      </c>
    </row>
    <row r="468" spans="1:5" ht="15">
      <c r="A468" s="13">
        <v>56127</v>
      </c>
      <c r="B468" s="4">
        <f>38.6634 * CHOOSE(CONTROL!$C$9, $C$13, 100%, $E$13) + CHOOSE(CONTROL!$C$28, 0.0294, 0)</f>
        <v>38.692800000000005</v>
      </c>
      <c r="C468" s="4">
        <f>38.3509 * CHOOSE(CONTROL!$C$9, $C$13, 100%, $E$13) + CHOOSE(CONTROL!$C$28, 0.0294, 0)</f>
        <v>38.380300000000005</v>
      </c>
      <c r="D468" s="4">
        <f>43.0407 * CHOOSE(CONTROL!$C$9, $C$13, 100%, $E$13) + CHOOSE(CONTROL!$C$28, 0, 0)</f>
        <v>43.040700000000001</v>
      </c>
      <c r="E468" s="4">
        <f>224.64376290063 * CHOOSE(CONTROL!$C$9, $C$13, 100%, $E$13) + CHOOSE(CONTROL!$C$28, 0, 0)</f>
        <v>224.64376290063001</v>
      </c>
    </row>
    <row r="469" spans="1:5" ht="15">
      <c r="A469" s="13">
        <v>56157</v>
      </c>
      <c r="B469" s="4">
        <f>37.1973 * CHOOSE(CONTROL!$C$9, $C$13, 100%, $E$13) + CHOOSE(CONTROL!$C$28, 0.0294, 0)</f>
        <v>37.226700000000001</v>
      </c>
      <c r="C469" s="4">
        <f>36.8848 * CHOOSE(CONTROL!$C$9, $C$13, 100%, $E$13) + CHOOSE(CONTROL!$C$28, 0.0294, 0)</f>
        <v>36.914200000000001</v>
      </c>
      <c r="D469" s="4">
        <f>42.83 * CHOOSE(CONTROL!$C$9, $C$13, 100%, $E$13) + CHOOSE(CONTROL!$C$28, 0, 0)</f>
        <v>42.83</v>
      </c>
      <c r="E469" s="4">
        <f>215.691517863108 * CHOOSE(CONTROL!$C$9, $C$13, 100%, $E$13) + CHOOSE(CONTROL!$C$28, 0, 0)</f>
        <v>215.691517863108</v>
      </c>
    </row>
    <row r="470" spans="1:5" ht="15">
      <c r="A470" s="13">
        <v>56188</v>
      </c>
      <c r="B470" s="4">
        <f>36.0237 * CHOOSE(CONTROL!$C$9, $C$13, 100%, $E$13) + CHOOSE(CONTROL!$C$28, 0.0003, 0)</f>
        <v>36.024000000000001</v>
      </c>
      <c r="C470" s="4">
        <f>35.7112 * CHOOSE(CONTROL!$C$9, $C$13, 100%, $E$13) + CHOOSE(CONTROL!$C$28, 0.0003, 0)</f>
        <v>35.711500000000001</v>
      </c>
      <c r="D470" s="4">
        <f>42.2658 * CHOOSE(CONTROL!$C$9, $C$13, 100%, $E$13) + CHOOSE(CONTROL!$C$28, 0, 0)</f>
        <v>42.265799999999999</v>
      </c>
      <c r="E470" s="4">
        <f>208.525068294409 * CHOOSE(CONTROL!$C$9, $C$13, 100%, $E$13) + CHOOSE(CONTROL!$C$28, 0, 0)</f>
        <v>208.52506829440901</v>
      </c>
    </row>
    <row r="471" spans="1:5" ht="15">
      <c r="A471" s="13">
        <v>56218</v>
      </c>
      <c r="B471" s="4">
        <f>35.2678 * CHOOSE(CONTROL!$C$9, $C$13, 100%, $E$13) + CHOOSE(CONTROL!$C$28, 0.0003, 0)</f>
        <v>35.268100000000004</v>
      </c>
      <c r="C471" s="4">
        <f>34.9553 * CHOOSE(CONTROL!$C$9, $C$13, 100%, $E$13) + CHOOSE(CONTROL!$C$28, 0.0003, 0)</f>
        <v>34.955600000000004</v>
      </c>
      <c r="D471" s="4">
        <f>42.0718 * CHOOSE(CONTROL!$C$9, $C$13, 100%, $E$13) + CHOOSE(CONTROL!$C$28, 0, 0)</f>
        <v>42.071800000000003</v>
      </c>
      <c r="E471" s="4">
        <f>203.909339615219 * CHOOSE(CONTROL!$C$9, $C$13, 100%, $E$13) + CHOOSE(CONTROL!$C$28, 0, 0)</f>
        <v>203.90933961521901</v>
      </c>
    </row>
    <row r="472" spans="1:5" ht="15">
      <c r="A472" s="13">
        <v>56249</v>
      </c>
      <c r="B472" s="4">
        <f>34.7449 * CHOOSE(CONTROL!$C$9, $C$13, 100%, $E$13) + CHOOSE(CONTROL!$C$28, 0.0003, 0)</f>
        <v>34.745200000000004</v>
      </c>
      <c r="C472" s="4">
        <f>34.4324 * CHOOSE(CONTROL!$C$9, $C$13, 100%, $E$13) + CHOOSE(CONTROL!$C$28, 0.0003, 0)</f>
        <v>34.432700000000004</v>
      </c>
      <c r="D472" s="4">
        <f>40.6438 * CHOOSE(CONTROL!$C$9, $C$13, 100%, $E$13) + CHOOSE(CONTROL!$C$28, 0, 0)</f>
        <v>40.643799999999999</v>
      </c>
      <c r="E472" s="4">
        <f>200.715848695401 * CHOOSE(CONTROL!$C$9, $C$13, 100%, $E$13) + CHOOSE(CONTROL!$C$28, 0, 0)</f>
        <v>200.71584869540101</v>
      </c>
    </row>
    <row r="473" spans="1:5" ht="15">
      <c r="A473" s="13">
        <v>56280</v>
      </c>
      <c r="B473" s="4">
        <f>33.8951 * CHOOSE(CONTROL!$C$9, $C$13, 100%, $E$13) + CHOOSE(CONTROL!$C$28, 0.0003, 0)</f>
        <v>33.895400000000002</v>
      </c>
      <c r="C473" s="4">
        <f>33.5826 * CHOOSE(CONTROL!$C$9, $C$13, 100%, $E$13) + CHOOSE(CONTROL!$C$28, 0.0003, 0)</f>
        <v>33.582900000000002</v>
      </c>
      <c r="D473" s="4">
        <f>39.3313 * CHOOSE(CONTROL!$C$9, $C$13, 100%, $E$13) + CHOOSE(CONTROL!$C$28, 0, 0)</f>
        <v>39.331299999999999</v>
      </c>
      <c r="E473" s="4">
        <f>194.960083022068 * CHOOSE(CONTROL!$C$9, $C$13, 100%, $E$13) + CHOOSE(CONTROL!$C$28, 0, 0)</f>
        <v>194.96008302206801</v>
      </c>
    </row>
    <row r="474" spans="1:5" ht="15">
      <c r="A474" s="13">
        <v>56308</v>
      </c>
      <c r="B474" s="4">
        <f>34.6554 * CHOOSE(CONTROL!$C$9, $C$13, 100%, $E$13) + CHOOSE(CONTROL!$C$28, 0.0003, 0)</f>
        <v>34.655700000000003</v>
      </c>
      <c r="C474" s="4">
        <f>34.3429 * CHOOSE(CONTROL!$C$9, $C$13, 100%, $E$13) + CHOOSE(CONTROL!$C$28, 0.0003, 0)</f>
        <v>34.343200000000003</v>
      </c>
      <c r="D474" s="4">
        <f>40.653 * CHOOSE(CONTROL!$C$9, $C$13, 100%, $E$13) + CHOOSE(CONTROL!$C$28, 0, 0)</f>
        <v>40.652999999999999</v>
      </c>
      <c r="E474" s="4">
        <f>199.589203713044 * CHOOSE(CONTROL!$C$9, $C$13, 100%, $E$13) + CHOOSE(CONTROL!$C$28, 0, 0)</f>
        <v>199.58920371304399</v>
      </c>
    </row>
    <row r="475" spans="1:5" ht="15">
      <c r="A475" s="13">
        <v>56339</v>
      </c>
      <c r="B475" s="4">
        <f>36.652 * CHOOSE(CONTROL!$C$9, $C$13, 100%, $E$13) + CHOOSE(CONTROL!$C$28, 0.0003, 0)</f>
        <v>36.652300000000004</v>
      </c>
      <c r="C475" s="4">
        <f>36.3395 * CHOOSE(CONTROL!$C$9, $C$13, 100%, $E$13) + CHOOSE(CONTROL!$C$28, 0.0003, 0)</f>
        <v>36.339800000000004</v>
      </c>
      <c r="D475" s="4">
        <f>42.722 * CHOOSE(CONTROL!$C$9, $C$13, 100%, $E$13) + CHOOSE(CONTROL!$C$28, 0, 0)</f>
        <v>42.722000000000001</v>
      </c>
      <c r="E475" s="4">
        <f>211.74552065396 * CHOOSE(CONTROL!$C$9, $C$13, 100%, $E$13) + CHOOSE(CONTROL!$C$28, 0, 0)</f>
        <v>211.74552065396</v>
      </c>
    </row>
    <row r="476" spans="1:5" ht="15">
      <c r="A476" s="13">
        <v>56369</v>
      </c>
      <c r="B476" s="4">
        <f>38.0705 * CHOOSE(CONTROL!$C$9, $C$13, 100%, $E$13) + CHOOSE(CONTROL!$C$28, 0.0003, 0)</f>
        <v>38.070800000000006</v>
      </c>
      <c r="C476" s="4">
        <f>37.758 * CHOOSE(CONTROL!$C$9, $C$13, 100%, $E$13) + CHOOSE(CONTROL!$C$28, 0.0003, 0)</f>
        <v>37.758300000000006</v>
      </c>
      <c r="D476" s="4">
        <f>43.9138 * CHOOSE(CONTROL!$C$9, $C$13, 100%, $E$13) + CHOOSE(CONTROL!$C$28, 0, 0)</f>
        <v>43.913800000000002</v>
      </c>
      <c r="E476" s="4">
        <f>220.382745844705 * CHOOSE(CONTROL!$C$9, $C$13, 100%, $E$13) + CHOOSE(CONTROL!$C$28, 0, 0)</f>
        <v>220.382745844705</v>
      </c>
    </row>
    <row r="477" spans="1:5" ht="15">
      <c r="A477" s="13">
        <v>56400</v>
      </c>
      <c r="B477" s="4">
        <f>38.9372 * CHOOSE(CONTROL!$C$9, $C$13, 100%, $E$13) + CHOOSE(CONTROL!$C$28, 0.0294, 0)</f>
        <v>38.9666</v>
      </c>
      <c r="C477" s="4">
        <f>38.6247 * CHOOSE(CONTROL!$C$9, $C$13, 100%, $E$13) + CHOOSE(CONTROL!$C$28, 0.0294, 0)</f>
        <v>38.6541</v>
      </c>
      <c r="D477" s="4">
        <f>43.4429 * CHOOSE(CONTROL!$C$9, $C$13, 100%, $E$13) + CHOOSE(CONTROL!$C$28, 0, 0)</f>
        <v>43.442900000000002</v>
      </c>
      <c r="E477" s="4">
        <f>225.659883430852 * CHOOSE(CONTROL!$C$9, $C$13, 100%, $E$13) + CHOOSE(CONTROL!$C$28, 0, 0)</f>
        <v>225.65988343085201</v>
      </c>
    </row>
    <row r="478" spans="1:5" ht="15">
      <c r="A478" s="13">
        <v>56430</v>
      </c>
      <c r="B478" s="4">
        <f>39.0545 * CHOOSE(CONTROL!$C$9, $C$13, 100%, $E$13) + CHOOSE(CONTROL!$C$28, 0.0294, 0)</f>
        <v>39.0839</v>
      </c>
      <c r="C478" s="4">
        <f>38.742 * CHOOSE(CONTROL!$C$9, $C$13, 100%, $E$13) + CHOOSE(CONTROL!$C$28, 0.0294, 0)</f>
        <v>38.7714</v>
      </c>
      <c r="D478" s="4">
        <f>43.8264 * CHOOSE(CONTROL!$C$9, $C$13, 100%, $E$13) + CHOOSE(CONTROL!$C$28, 0, 0)</f>
        <v>43.8264</v>
      </c>
      <c r="E478" s="4">
        <f>226.373902046829 * CHOOSE(CONTROL!$C$9, $C$13, 100%, $E$13) + CHOOSE(CONTROL!$C$28, 0, 0)</f>
        <v>226.37390204682899</v>
      </c>
    </row>
    <row r="479" spans="1:5" ht="15">
      <c r="A479" s="13">
        <v>56461</v>
      </c>
      <c r="B479" s="4">
        <f>39.0427 * CHOOSE(CONTROL!$C$9, $C$13, 100%, $E$13) + CHOOSE(CONTROL!$C$28, 0.0294, 0)</f>
        <v>39.072100000000006</v>
      </c>
      <c r="C479" s="4">
        <f>38.7302 * CHOOSE(CONTROL!$C$9, $C$13, 100%, $E$13) + CHOOSE(CONTROL!$C$28, 0.0294, 0)</f>
        <v>38.759600000000006</v>
      </c>
      <c r="D479" s="4">
        <f>44.5185 * CHOOSE(CONTROL!$C$9, $C$13, 100%, $E$13) + CHOOSE(CONTROL!$C$28, 0, 0)</f>
        <v>44.518500000000003</v>
      </c>
      <c r="E479" s="4">
        <f>226.301900169588 * CHOOSE(CONTROL!$C$9, $C$13, 100%, $E$13) + CHOOSE(CONTROL!$C$28, 0, 0)</f>
        <v>226.30190016958801</v>
      </c>
    </row>
    <row r="480" spans="1:5" ht="15">
      <c r="A480" s="13">
        <v>56492</v>
      </c>
      <c r="B480" s="4">
        <f>39.9326 * CHOOSE(CONTROL!$C$9, $C$13, 100%, $E$13) + CHOOSE(CONTROL!$C$28, 0.0294, 0)</f>
        <v>39.962000000000003</v>
      </c>
      <c r="C480" s="4">
        <f>39.6201 * CHOOSE(CONTROL!$C$9, $C$13, 100%, $E$13) + CHOOSE(CONTROL!$C$28, 0.0294, 0)</f>
        <v>39.649500000000003</v>
      </c>
      <c r="D480" s="4">
        <f>44.0614 * CHOOSE(CONTROL!$C$9, $C$13, 100%, $E$13) + CHOOSE(CONTROL!$C$28, 0, 0)</f>
        <v>44.061399999999999</v>
      </c>
      <c r="E480" s="4">
        <f>231.720041432 * CHOOSE(CONTROL!$C$9, $C$13, 100%, $E$13) + CHOOSE(CONTROL!$C$28, 0, 0)</f>
        <v>231.72004143199999</v>
      </c>
    </row>
    <row r="481" spans="1:5" ht="15">
      <c r="A481" s="13">
        <v>56522</v>
      </c>
      <c r="B481" s="4">
        <f>38.4159 * CHOOSE(CONTROL!$C$9, $C$13, 100%, $E$13) + CHOOSE(CONTROL!$C$28, 0.0294, 0)</f>
        <v>38.445300000000003</v>
      </c>
      <c r="C481" s="4">
        <f>38.1034 * CHOOSE(CONTROL!$C$9, $C$13, 100%, $E$13) + CHOOSE(CONTROL!$C$28, 0.0294, 0)</f>
        <v>38.132800000000003</v>
      </c>
      <c r="D481" s="4">
        <f>43.8455 * CHOOSE(CONTROL!$C$9, $C$13, 100%, $E$13) + CHOOSE(CONTROL!$C$28, 0, 0)</f>
        <v>43.845500000000001</v>
      </c>
      <c r="E481" s="4">
        <f>222.485800675796 * CHOOSE(CONTROL!$C$9, $C$13, 100%, $E$13) + CHOOSE(CONTROL!$C$28, 0, 0)</f>
        <v>222.48580067579601</v>
      </c>
    </row>
    <row r="482" spans="1:5" ht="15">
      <c r="A482" s="13">
        <v>56553</v>
      </c>
      <c r="B482" s="4">
        <f>37.2018 * CHOOSE(CONTROL!$C$9, $C$13, 100%, $E$13) + CHOOSE(CONTROL!$C$28, 0.0003, 0)</f>
        <v>37.202100000000002</v>
      </c>
      <c r="C482" s="4">
        <f>36.8893 * CHOOSE(CONTROL!$C$9, $C$13, 100%, $E$13) + CHOOSE(CONTROL!$C$28, 0.0003, 0)</f>
        <v>36.889600000000002</v>
      </c>
      <c r="D482" s="4">
        <f>43.2673 * CHOOSE(CONTROL!$C$9, $C$13, 100%, $E$13) + CHOOSE(CONTROL!$C$28, 0, 0)</f>
        <v>43.267299999999999</v>
      </c>
      <c r="E482" s="4">
        <f>215.093607945683 * CHOOSE(CONTROL!$C$9, $C$13, 100%, $E$13) + CHOOSE(CONTROL!$C$28, 0, 0)</f>
        <v>215.093607945683</v>
      </c>
    </row>
    <row r="483" spans="1:5" ht="15">
      <c r="A483" s="13">
        <v>56583</v>
      </c>
      <c r="B483" s="4">
        <f>36.4199 * CHOOSE(CONTROL!$C$9, $C$13, 100%, $E$13) + CHOOSE(CONTROL!$C$28, 0.0003, 0)</f>
        <v>36.420200000000001</v>
      </c>
      <c r="C483" s="4">
        <f>36.1074 * CHOOSE(CONTROL!$C$9, $C$13, 100%, $E$13) + CHOOSE(CONTROL!$C$28, 0.0003, 0)</f>
        <v>36.107700000000001</v>
      </c>
      <c r="D483" s="4">
        <f>43.0685 * CHOOSE(CONTROL!$C$9, $C$13, 100%, $E$13) + CHOOSE(CONTROL!$C$28, 0, 0)</f>
        <v>43.0685</v>
      </c>
      <c r="E483" s="4">
        <f>210.332483813098 * CHOOSE(CONTROL!$C$9, $C$13, 100%, $E$13) + CHOOSE(CONTROL!$C$28, 0, 0)</f>
        <v>210.33248381309801</v>
      </c>
    </row>
    <row r="484" spans="1:5" ht="15">
      <c r="A484" s="13">
        <v>56614</v>
      </c>
      <c r="B484" s="4">
        <f>35.8789 * CHOOSE(CONTROL!$C$9, $C$13, 100%, $E$13) + CHOOSE(CONTROL!$C$28, 0.0003, 0)</f>
        <v>35.879200000000004</v>
      </c>
      <c r="C484" s="4">
        <f>35.5664 * CHOOSE(CONTROL!$C$9, $C$13, 100%, $E$13) + CHOOSE(CONTROL!$C$28, 0.0003, 0)</f>
        <v>35.566700000000004</v>
      </c>
      <c r="D484" s="4">
        <f>41.605 * CHOOSE(CONTROL!$C$9, $C$13, 100%, $E$13) + CHOOSE(CONTROL!$C$28, 0, 0)</f>
        <v>41.604999999999997</v>
      </c>
      <c r="E484" s="4">
        <f>207.038397929306 * CHOOSE(CONTROL!$C$9, $C$13, 100%, $E$13) + CHOOSE(CONTROL!$C$28, 0, 0)</f>
        <v>207.038397929306</v>
      </c>
    </row>
    <row r="485" spans="1:5" ht="15">
      <c r="A485" s="13">
        <v>56645</v>
      </c>
      <c r="B485" s="4">
        <f>34.9998 * CHOOSE(CONTROL!$C$9, $C$13, 100%, $E$13) + CHOOSE(CONTROL!$C$28, 0.0003, 0)</f>
        <v>35.000100000000003</v>
      </c>
      <c r="C485" s="4">
        <f>34.6873 * CHOOSE(CONTROL!$C$9, $C$13, 100%, $E$13) + CHOOSE(CONTROL!$C$28, 0.0003, 0)</f>
        <v>34.687600000000003</v>
      </c>
      <c r="D485" s="4">
        <f>40.26 * CHOOSE(CONTROL!$C$9, $C$13, 100%, $E$13) + CHOOSE(CONTROL!$C$28, 0, 0)</f>
        <v>40.26</v>
      </c>
      <c r="E485" s="4">
        <f>201.101325637264 * CHOOSE(CONTROL!$C$9, $C$13, 100%, $E$13) + CHOOSE(CONTROL!$C$28, 0, 0)</f>
        <v>201.10132563726401</v>
      </c>
    </row>
    <row r="486" spans="1:5" ht="15">
      <c r="A486" s="13">
        <v>56673</v>
      </c>
      <c r="B486" s="4">
        <f>35.7863 * CHOOSE(CONTROL!$C$9, $C$13, 100%, $E$13) + CHOOSE(CONTROL!$C$28, 0.0003, 0)</f>
        <v>35.7866</v>
      </c>
      <c r="C486" s="4">
        <f>35.4738 * CHOOSE(CONTROL!$C$9, $C$13, 100%, $E$13) + CHOOSE(CONTROL!$C$28, 0.0003, 0)</f>
        <v>35.4741</v>
      </c>
      <c r="D486" s="4">
        <f>41.6145 * CHOOSE(CONTROL!$C$9, $C$13, 100%, $E$13) + CHOOSE(CONTROL!$C$28, 0, 0)</f>
        <v>41.6145</v>
      </c>
      <c r="E486" s="4">
        <f>205.876263630005 * CHOOSE(CONTROL!$C$9, $C$13, 100%, $E$13) + CHOOSE(CONTROL!$C$28, 0, 0)</f>
        <v>205.87626363000501</v>
      </c>
    </row>
    <row r="487" spans="1:5" ht="15">
      <c r="A487" s="13">
        <v>56704</v>
      </c>
      <c r="B487" s="4">
        <f>37.8518 * CHOOSE(CONTROL!$C$9, $C$13, 100%, $E$13) + CHOOSE(CONTROL!$C$28, 0.0003, 0)</f>
        <v>37.8521</v>
      </c>
      <c r="C487" s="4">
        <f>37.5393 * CHOOSE(CONTROL!$C$9, $C$13, 100%, $E$13) + CHOOSE(CONTROL!$C$28, 0.0003, 0)</f>
        <v>37.5396</v>
      </c>
      <c r="D487" s="4">
        <f>43.7348 * CHOOSE(CONTROL!$C$9, $C$13, 100%, $E$13) + CHOOSE(CONTROL!$C$28, 0, 0)</f>
        <v>43.7348</v>
      </c>
      <c r="E487" s="4">
        <f>218.41550455456 * CHOOSE(CONTROL!$C$9, $C$13, 100%, $E$13) + CHOOSE(CONTROL!$C$28, 0, 0)</f>
        <v>218.41550455455999</v>
      </c>
    </row>
    <row r="488" spans="1:5" ht="15">
      <c r="A488" s="13">
        <v>56734</v>
      </c>
      <c r="B488" s="4">
        <f>39.3193 * CHOOSE(CONTROL!$C$9, $C$13, 100%, $E$13) + CHOOSE(CONTROL!$C$28, 0.0003, 0)</f>
        <v>39.319600000000001</v>
      </c>
      <c r="C488" s="4">
        <f>39.0068 * CHOOSE(CONTROL!$C$9, $C$13, 100%, $E$13) + CHOOSE(CONTROL!$C$28, 0.0003, 0)</f>
        <v>39.007100000000001</v>
      </c>
      <c r="D488" s="4">
        <f>44.9562 * CHOOSE(CONTROL!$C$9, $C$13, 100%, $E$13) + CHOOSE(CONTROL!$C$28, 0, 0)</f>
        <v>44.956200000000003</v>
      </c>
      <c r="E488" s="4">
        <f>227.324802338813 * CHOOSE(CONTROL!$C$9, $C$13, 100%, $E$13) + CHOOSE(CONTROL!$C$28, 0, 0)</f>
        <v>227.32480233881299</v>
      </c>
    </row>
    <row r="489" spans="1:5" ht="15">
      <c r="A489" s="13">
        <v>56765</v>
      </c>
      <c r="B489" s="4">
        <f>40.2159 * CHOOSE(CONTROL!$C$9, $C$13, 100%, $E$13) + CHOOSE(CONTROL!$C$28, 0.0294, 0)</f>
        <v>40.2453</v>
      </c>
      <c r="C489" s="4">
        <f>39.9034 * CHOOSE(CONTROL!$C$9, $C$13, 100%, $E$13) + CHOOSE(CONTROL!$C$28, 0.0294, 0)</f>
        <v>39.9328</v>
      </c>
      <c r="D489" s="4">
        <f>44.4736 * CHOOSE(CONTROL!$C$9, $C$13, 100%, $E$13) + CHOOSE(CONTROL!$C$28, 0, 0)</f>
        <v>44.473599999999998</v>
      </c>
      <c r="E489" s="4">
        <f>232.768169758924 * CHOOSE(CONTROL!$C$9, $C$13, 100%, $E$13) + CHOOSE(CONTROL!$C$28, 0, 0)</f>
        <v>232.76816975892399</v>
      </c>
    </row>
    <row r="490" spans="1:5" ht="15">
      <c r="A490" s="13">
        <v>56795</v>
      </c>
      <c r="B490" s="4">
        <f>40.3372 * CHOOSE(CONTROL!$C$9, $C$13, 100%, $E$13) + CHOOSE(CONTROL!$C$28, 0.0294, 0)</f>
        <v>40.366600000000005</v>
      </c>
      <c r="C490" s="4">
        <f>40.0247 * CHOOSE(CONTROL!$C$9, $C$13, 100%, $E$13) + CHOOSE(CONTROL!$C$28, 0.0294, 0)</f>
        <v>40.054100000000005</v>
      </c>
      <c r="D490" s="4">
        <f>44.8666 * CHOOSE(CONTROL!$C$9, $C$13, 100%, $E$13) + CHOOSE(CONTROL!$C$28, 0, 0)</f>
        <v>44.866599999999998</v>
      </c>
      <c r="E490" s="4">
        <f>233.504679961304 * CHOOSE(CONTROL!$C$9, $C$13, 100%, $E$13) + CHOOSE(CONTROL!$C$28, 0, 0)</f>
        <v>233.50467996130399</v>
      </c>
    </row>
    <row r="491" spans="1:5" ht="15">
      <c r="A491" s="13">
        <v>56826</v>
      </c>
      <c r="B491" s="4">
        <f>40.325 * CHOOSE(CONTROL!$C$9, $C$13, 100%, $E$13) + CHOOSE(CONTROL!$C$28, 0.0294, 0)</f>
        <v>40.354400000000005</v>
      </c>
      <c r="C491" s="4">
        <f>40.0125 * CHOOSE(CONTROL!$C$9, $C$13, 100%, $E$13) + CHOOSE(CONTROL!$C$28, 0.0294, 0)</f>
        <v>40.041900000000005</v>
      </c>
      <c r="D491" s="4">
        <f>45.5759 * CHOOSE(CONTROL!$C$9, $C$13, 100%, $E$13) + CHOOSE(CONTROL!$C$28, 0, 0)</f>
        <v>45.575899999999997</v>
      </c>
      <c r="E491" s="4">
        <f>233.43041002493 * CHOOSE(CONTROL!$C$9, $C$13, 100%, $E$13) + CHOOSE(CONTROL!$C$28, 0, 0)</f>
        <v>233.43041002493001</v>
      </c>
    </row>
    <row r="492" spans="1:5" ht="15">
      <c r="A492" s="13">
        <v>56857</v>
      </c>
      <c r="B492" s="4">
        <f>41.2455 * CHOOSE(CONTROL!$C$9, $C$13, 100%, $E$13) + CHOOSE(CONTROL!$C$28, 0.0294, 0)</f>
        <v>41.274900000000002</v>
      </c>
      <c r="C492" s="4">
        <f>40.933 * CHOOSE(CONTROL!$C$9, $C$13, 100%, $E$13) + CHOOSE(CONTROL!$C$28, 0.0294, 0)</f>
        <v>40.962400000000002</v>
      </c>
      <c r="D492" s="4">
        <f>45.1075 * CHOOSE(CONTROL!$C$9, $C$13, 100%, $E$13) + CHOOSE(CONTROL!$C$28, 0, 0)</f>
        <v>45.107500000000002</v>
      </c>
      <c r="E492" s="4">
        <f>239.019222737108 * CHOOSE(CONTROL!$C$9, $C$13, 100%, $E$13) + CHOOSE(CONTROL!$C$28, 0, 0)</f>
        <v>239.01922273710801</v>
      </c>
    </row>
    <row r="493" spans="1:5" ht="15">
      <c r="A493" s="13">
        <v>56887</v>
      </c>
      <c r="B493" s="4">
        <f>39.6766 * CHOOSE(CONTROL!$C$9, $C$13, 100%, $E$13) + CHOOSE(CONTROL!$C$28, 0.0294, 0)</f>
        <v>39.706000000000003</v>
      </c>
      <c r="C493" s="4">
        <f>39.3641 * CHOOSE(CONTROL!$C$9, $C$13, 100%, $E$13) + CHOOSE(CONTROL!$C$28, 0.0294, 0)</f>
        <v>39.393500000000003</v>
      </c>
      <c r="D493" s="4">
        <f>44.8862 * CHOOSE(CONTROL!$C$9, $C$13, 100%, $E$13) + CHOOSE(CONTROL!$C$28, 0, 0)</f>
        <v>44.886200000000002</v>
      </c>
      <c r="E493" s="4">
        <f>229.494103397084 * CHOOSE(CONTROL!$C$9, $C$13, 100%, $E$13) + CHOOSE(CONTROL!$C$28, 0, 0)</f>
        <v>229.49410339708399</v>
      </c>
    </row>
    <row r="494" spans="1:5" ht="15">
      <c r="A494" s="13">
        <v>56918</v>
      </c>
      <c r="B494" s="4">
        <f>38.4206 * CHOOSE(CONTROL!$C$9, $C$13, 100%, $E$13) + CHOOSE(CONTROL!$C$28, 0.0003, 0)</f>
        <v>38.420900000000003</v>
      </c>
      <c r="C494" s="4">
        <f>38.1081 * CHOOSE(CONTROL!$C$9, $C$13, 100%, $E$13) + CHOOSE(CONTROL!$C$28, 0.0003, 0)</f>
        <v>38.108400000000003</v>
      </c>
      <c r="D494" s="4">
        <f>44.2936 * CHOOSE(CONTROL!$C$9, $C$13, 100%, $E$13) + CHOOSE(CONTROL!$C$28, 0, 0)</f>
        <v>44.293599999999998</v>
      </c>
      <c r="E494" s="4">
        <f>221.869056595972 * CHOOSE(CONTROL!$C$9, $C$13, 100%, $E$13) + CHOOSE(CONTROL!$C$28, 0, 0)</f>
        <v>221.86905659597201</v>
      </c>
    </row>
    <row r="495" spans="1:5" ht="15">
      <c r="A495" s="13">
        <v>56948</v>
      </c>
      <c r="B495" s="4">
        <f>37.6117 * CHOOSE(CONTROL!$C$9, $C$13, 100%, $E$13) + CHOOSE(CONTROL!$C$28, 0.0003, 0)</f>
        <v>37.612000000000002</v>
      </c>
      <c r="C495" s="4">
        <f>37.2992 * CHOOSE(CONTROL!$C$9, $C$13, 100%, $E$13) + CHOOSE(CONTROL!$C$28, 0.0003, 0)</f>
        <v>37.299500000000002</v>
      </c>
      <c r="D495" s="4">
        <f>44.0899 * CHOOSE(CONTROL!$C$9, $C$13, 100%, $E$13) + CHOOSE(CONTROL!$C$28, 0, 0)</f>
        <v>44.0899</v>
      </c>
      <c r="E495" s="4">
        <f>216.957957053211 * CHOOSE(CONTROL!$C$9, $C$13, 100%, $E$13) + CHOOSE(CONTROL!$C$28, 0, 0)</f>
        <v>216.957957053211</v>
      </c>
    </row>
    <row r="496" spans="1:5" ht="15">
      <c r="A496" s="13">
        <v>56979</v>
      </c>
      <c r="B496" s="4">
        <f>37.052 * CHOOSE(CONTROL!$C$9, $C$13, 100%, $E$13) + CHOOSE(CONTROL!$C$28, 0.0003, 0)</f>
        <v>37.052300000000002</v>
      </c>
      <c r="C496" s="4">
        <f>36.7395 * CHOOSE(CONTROL!$C$9, $C$13, 100%, $E$13) + CHOOSE(CONTROL!$C$28, 0.0003, 0)</f>
        <v>36.739800000000002</v>
      </c>
      <c r="D496" s="4">
        <f>42.5901 * CHOOSE(CONTROL!$C$9, $C$13, 100%, $E$13) + CHOOSE(CONTROL!$C$28, 0, 0)</f>
        <v>42.5901</v>
      </c>
      <c r="E496" s="4">
        <f>213.560107464079 * CHOOSE(CONTROL!$C$9, $C$13, 100%, $E$13) + CHOOSE(CONTROL!$C$28, 0, 0)</f>
        <v>213.56010746407901</v>
      </c>
    </row>
    <row r="497" spans="1:5" ht="15">
      <c r="A497" s="13">
        <v>57010</v>
      </c>
      <c r="B497" s="4">
        <f>36.1426 * CHOOSE(CONTROL!$C$9, $C$13, 100%, $E$13) + CHOOSE(CONTROL!$C$28, 0.0003, 0)</f>
        <v>36.142900000000004</v>
      </c>
      <c r="C497" s="4">
        <f>35.8301 * CHOOSE(CONTROL!$C$9, $C$13, 100%, $E$13) + CHOOSE(CONTROL!$C$28, 0.0003, 0)</f>
        <v>35.830400000000004</v>
      </c>
      <c r="D497" s="4">
        <f>41.2117 * CHOOSE(CONTROL!$C$9, $C$13, 100%, $E$13) + CHOOSE(CONTROL!$C$28, 0, 0)</f>
        <v>41.2117</v>
      </c>
      <c r="E497" s="4">
        <f>207.436017394837 * CHOOSE(CONTROL!$C$9, $C$13, 100%, $E$13) + CHOOSE(CONTROL!$C$28, 0, 0)</f>
        <v>207.43601739483699</v>
      </c>
    </row>
    <row r="498" spans="1:5" ht="15">
      <c r="A498" s="13">
        <v>57038</v>
      </c>
      <c r="B498" s="4">
        <f>36.9563 * CHOOSE(CONTROL!$C$9, $C$13, 100%, $E$13) + CHOOSE(CONTROL!$C$28, 0.0003, 0)</f>
        <v>36.956600000000002</v>
      </c>
      <c r="C498" s="4">
        <f>36.6438 * CHOOSE(CONTROL!$C$9, $C$13, 100%, $E$13) + CHOOSE(CONTROL!$C$28, 0.0003, 0)</f>
        <v>36.644100000000002</v>
      </c>
      <c r="D498" s="4">
        <f>42.5998 * CHOOSE(CONTROL!$C$9, $C$13, 100%, $E$13) + CHOOSE(CONTROL!$C$28, 0, 0)</f>
        <v>42.599800000000002</v>
      </c>
      <c r="E498" s="4">
        <f>212.36136593435 * CHOOSE(CONTROL!$C$9, $C$13, 100%, $E$13) + CHOOSE(CONTROL!$C$28, 0, 0)</f>
        <v>212.36136593435</v>
      </c>
    </row>
    <row r="499" spans="1:5" ht="15">
      <c r="A499" s="13">
        <v>57070</v>
      </c>
      <c r="B499" s="4">
        <f>39.093 * CHOOSE(CONTROL!$C$9, $C$13, 100%, $E$13) + CHOOSE(CONTROL!$C$28, 0.0003, 0)</f>
        <v>39.093300000000006</v>
      </c>
      <c r="C499" s="4">
        <f>38.7805 * CHOOSE(CONTROL!$C$9, $C$13, 100%, $E$13) + CHOOSE(CONTROL!$C$28, 0.0003, 0)</f>
        <v>38.780800000000006</v>
      </c>
      <c r="D499" s="4">
        <f>44.7727 * CHOOSE(CONTROL!$C$9, $C$13, 100%, $E$13) + CHOOSE(CONTROL!$C$28, 0, 0)</f>
        <v>44.7727</v>
      </c>
      <c r="E499" s="4">
        <f>225.295592948028 * CHOOSE(CONTROL!$C$9, $C$13, 100%, $E$13) + CHOOSE(CONTROL!$C$28, 0, 0)</f>
        <v>225.295592948028</v>
      </c>
    </row>
    <row r="500" spans="1:5" ht="15">
      <c r="A500" s="13">
        <v>57100</v>
      </c>
      <c r="B500" s="4">
        <f>40.6111 * CHOOSE(CONTROL!$C$9, $C$13, 100%, $E$13) + CHOOSE(CONTROL!$C$28, 0.0003, 0)</f>
        <v>40.611400000000003</v>
      </c>
      <c r="C500" s="4">
        <f>40.2986 * CHOOSE(CONTROL!$C$9, $C$13, 100%, $E$13) + CHOOSE(CONTROL!$C$28, 0.0003, 0)</f>
        <v>40.298900000000003</v>
      </c>
      <c r="D500" s="4">
        <f>46.0244 * CHOOSE(CONTROL!$C$9, $C$13, 100%, $E$13) + CHOOSE(CONTROL!$C$28, 0, 0)</f>
        <v>46.0244</v>
      </c>
      <c r="E500" s="4">
        <f>234.485533612485 * CHOOSE(CONTROL!$C$9, $C$13, 100%, $E$13) + CHOOSE(CONTROL!$C$28, 0, 0)</f>
        <v>234.485533612485</v>
      </c>
    </row>
    <row r="501" spans="1:5" ht="15">
      <c r="A501" s="13">
        <v>57131</v>
      </c>
      <c r="B501" s="4">
        <f>41.5387 * CHOOSE(CONTROL!$C$9, $C$13, 100%, $E$13) + CHOOSE(CONTROL!$C$28, 0.0294, 0)</f>
        <v>41.568100000000001</v>
      </c>
      <c r="C501" s="4">
        <f>41.2262 * CHOOSE(CONTROL!$C$9, $C$13, 100%, $E$13) + CHOOSE(CONTROL!$C$28, 0.0294, 0)</f>
        <v>41.255600000000001</v>
      </c>
      <c r="D501" s="4">
        <f>45.5298 * CHOOSE(CONTROL!$C$9, $C$13, 100%, $E$13) + CHOOSE(CONTROL!$C$28, 0, 0)</f>
        <v>45.529800000000002</v>
      </c>
      <c r="E501" s="4">
        <f>240.10036710633 * CHOOSE(CONTROL!$C$9, $C$13, 100%, $E$13) + CHOOSE(CONTROL!$C$28, 0, 0)</f>
        <v>240.10036710633</v>
      </c>
    </row>
    <row r="502" spans="1:5" ht="15">
      <c r="A502" s="13">
        <v>57161</v>
      </c>
      <c r="B502" s="4">
        <f>41.6642 * CHOOSE(CONTROL!$C$9, $C$13, 100%, $E$13) + CHOOSE(CONTROL!$C$28, 0.0294, 0)</f>
        <v>41.693600000000004</v>
      </c>
      <c r="C502" s="4">
        <f>41.3517 * CHOOSE(CONTROL!$C$9, $C$13, 100%, $E$13) + CHOOSE(CONTROL!$C$28, 0.0294, 0)</f>
        <v>41.381100000000004</v>
      </c>
      <c r="D502" s="4">
        <f>45.9326 * CHOOSE(CONTROL!$C$9, $C$13, 100%, $E$13) + CHOOSE(CONTROL!$C$28, 0, 0)</f>
        <v>45.932600000000001</v>
      </c>
      <c r="E502" s="4">
        <f>240.860077380085 * CHOOSE(CONTROL!$C$9, $C$13, 100%, $E$13) + CHOOSE(CONTROL!$C$28, 0, 0)</f>
        <v>240.86007738008499</v>
      </c>
    </row>
    <row r="503" spans="1:5" ht="15">
      <c r="A503" s="13">
        <v>57192</v>
      </c>
      <c r="B503" s="4">
        <f>41.6515 * CHOOSE(CONTROL!$C$9, $C$13, 100%, $E$13) + CHOOSE(CONTROL!$C$28, 0.0294, 0)</f>
        <v>41.680900000000001</v>
      </c>
      <c r="C503" s="4">
        <f>41.339 * CHOOSE(CONTROL!$C$9, $C$13, 100%, $E$13) + CHOOSE(CONTROL!$C$28, 0.0294, 0)</f>
        <v>41.368400000000001</v>
      </c>
      <c r="D503" s="4">
        <f>46.6594 * CHOOSE(CONTROL!$C$9, $C$13, 100%, $E$13) + CHOOSE(CONTROL!$C$28, 0, 0)</f>
        <v>46.659399999999998</v>
      </c>
      <c r="E503" s="4">
        <f>240.783467940715 * CHOOSE(CONTROL!$C$9, $C$13, 100%, $E$13) + CHOOSE(CONTROL!$C$28, 0, 0)</f>
        <v>240.78346794071501</v>
      </c>
    </row>
    <row r="504" spans="1:5" ht="15">
      <c r="A504" s="13">
        <v>57223</v>
      </c>
      <c r="B504" s="4">
        <f>42.6038 * CHOOSE(CONTROL!$C$9, $C$13, 100%, $E$13) + CHOOSE(CONTROL!$C$28, 0.0294, 0)</f>
        <v>42.633200000000002</v>
      </c>
      <c r="C504" s="4">
        <f>42.2913 * CHOOSE(CONTROL!$C$9, $C$13, 100%, $E$13) + CHOOSE(CONTROL!$C$28, 0.0294, 0)</f>
        <v>42.320700000000002</v>
      </c>
      <c r="D504" s="4">
        <f>46.1794 * CHOOSE(CONTROL!$C$9, $C$13, 100%, $E$13) + CHOOSE(CONTROL!$C$28, 0, 0)</f>
        <v>46.179400000000001</v>
      </c>
      <c r="E504" s="4">
        <f>246.548328253327 * CHOOSE(CONTROL!$C$9, $C$13, 100%, $E$13) + CHOOSE(CONTROL!$C$28, 0, 0)</f>
        <v>246.54832825332701</v>
      </c>
    </row>
    <row r="505" spans="1:5" ht="15">
      <c r="A505" s="13">
        <v>57253</v>
      </c>
      <c r="B505" s="4">
        <f>40.9808 * CHOOSE(CONTROL!$C$9, $C$13, 100%, $E$13) + CHOOSE(CONTROL!$C$28, 0.0294, 0)</f>
        <v>41.010200000000005</v>
      </c>
      <c r="C505" s="4">
        <f>40.6683 * CHOOSE(CONTROL!$C$9, $C$13, 100%, $E$13) + CHOOSE(CONTROL!$C$28, 0.0294, 0)</f>
        <v>40.697700000000005</v>
      </c>
      <c r="D505" s="4">
        <f>45.9527 * CHOOSE(CONTROL!$C$9, $C$13, 100%, $E$13) + CHOOSE(CONTROL!$C$28, 0, 0)</f>
        <v>45.9527</v>
      </c>
      <c r="E505" s="4">
        <f>236.723167654092 * CHOOSE(CONTROL!$C$9, $C$13, 100%, $E$13) + CHOOSE(CONTROL!$C$28, 0, 0)</f>
        <v>236.72316765409201</v>
      </c>
    </row>
    <row r="506" spans="1:5" ht="15">
      <c r="A506" s="13">
        <v>57284</v>
      </c>
      <c r="B506" s="4">
        <f>39.6814 * CHOOSE(CONTROL!$C$9, $C$13, 100%, $E$13) + CHOOSE(CONTROL!$C$28, 0.0003, 0)</f>
        <v>39.681699999999999</v>
      </c>
      <c r="C506" s="4">
        <f>39.3689 * CHOOSE(CONTROL!$C$9, $C$13, 100%, $E$13) + CHOOSE(CONTROL!$C$28, 0.0003, 0)</f>
        <v>39.369199999999999</v>
      </c>
      <c r="D506" s="4">
        <f>45.3454 * CHOOSE(CONTROL!$C$9, $C$13, 100%, $E$13) + CHOOSE(CONTROL!$C$28, 0, 0)</f>
        <v>45.345399999999998</v>
      </c>
      <c r="E506" s="4">
        <f>228.857931878745 * CHOOSE(CONTROL!$C$9, $C$13, 100%, $E$13) + CHOOSE(CONTROL!$C$28, 0, 0)</f>
        <v>228.85793187874501</v>
      </c>
    </row>
    <row r="507" spans="1:5" ht="15">
      <c r="A507" s="13">
        <v>57314</v>
      </c>
      <c r="B507" s="4">
        <f>38.8446 * CHOOSE(CONTROL!$C$9, $C$13, 100%, $E$13) + CHOOSE(CONTROL!$C$28, 0.0003, 0)</f>
        <v>38.844900000000003</v>
      </c>
      <c r="C507" s="4">
        <f>38.5321 * CHOOSE(CONTROL!$C$9, $C$13, 100%, $E$13) + CHOOSE(CONTROL!$C$28, 0.0003, 0)</f>
        <v>38.532400000000003</v>
      </c>
      <c r="D507" s="4">
        <f>45.1367 * CHOOSE(CONTROL!$C$9, $C$13, 100%, $E$13) + CHOOSE(CONTROL!$C$28, 0, 0)</f>
        <v>45.136699999999998</v>
      </c>
      <c r="E507" s="4">
        <f>223.792132700387 * CHOOSE(CONTROL!$C$9, $C$13, 100%, $E$13) + CHOOSE(CONTROL!$C$28, 0, 0)</f>
        <v>223.79213270038699</v>
      </c>
    </row>
    <row r="508" spans="1:5" ht="15">
      <c r="A508" s="13">
        <v>57345</v>
      </c>
      <c r="B508" s="4">
        <f>38.2656 * CHOOSE(CONTROL!$C$9, $C$13, 100%, $E$13) + CHOOSE(CONTROL!$C$28, 0.0003, 0)</f>
        <v>38.265900000000002</v>
      </c>
      <c r="C508" s="4">
        <f>37.9531 * CHOOSE(CONTROL!$C$9, $C$13, 100%, $E$13) + CHOOSE(CONTROL!$C$28, 0.0003, 0)</f>
        <v>37.953400000000002</v>
      </c>
      <c r="D508" s="4">
        <f>43.5997 * CHOOSE(CONTROL!$C$9, $C$13, 100%, $E$13) + CHOOSE(CONTROL!$C$28, 0, 0)</f>
        <v>43.599699999999999</v>
      </c>
      <c r="E508" s="4">
        <f>220.287250849198 * CHOOSE(CONTROL!$C$9, $C$13, 100%, $E$13) + CHOOSE(CONTROL!$C$28, 0, 0)</f>
        <v>220.28725084919799</v>
      </c>
    </row>
    <row r="509" spans="1:5" ht="15">
      <c r="A509" s="13">
        <v>57376</v>
      </c>
      <c r="B509" s="4">
        <f>37.3249 * CHOOSE(CONTROL!$C$9, $C$13, 100%, $E$13) + CHOOSE(CONTROL!$C$28, 0.0003, 0)</f>
        <v>37.325200000000002</v>
      </c>
      <c r="C509" s="4">
        <f>37.0124 * CHOOSE(CONTROL!$C$9, $C$13, 100%, $E$13) + CHOOSE(CONTROL!$C$28, 0.0003, 0)</f>
        <v>37.012700000000002</v>
      </c>
      <c r="D509" s="4">
        <f>42.1871 * CHOOSE(CONTROL!$C$9, $C$13, 100%, $E$13) + CHOOSE(CONTROL!$C$28, 0, 0)</f>
        <v>42.187100000000001</v>
      </c>
      <c r="E509" s="4">
        <f>213.970251942775 * CHOOSE(CONTROL!$C$9, $C$13, 100%, $E$13) + CHOOSE(CONTROL!$C$28, 0, 0)</f>
        <v>213.97025194277501</v>
      </c>
    </row>
    <row r="510" spans="1:5" ht="15">
      <c r="A510" s="13">
        <v>57404</v>
      </c>
      <c r="B510" s="4">
        <f>38.1666 * CHOOSE(CONTROL!$C$9, $C$13, 100%, $E$13) + CHOOSE(CONTROL!$C$28, 0.0003, 0)</f>
        <v>38.166900000000005</v>
      </c>
      <c r="C510" s="4">
        <f>37.8541 * CHOOSE(CONTROL!$C$9, $C$13, 100%, $E$13) + CHOOSE(CONTROL!$C$28, 0.0003, 0)</f>
        <v>37.854400000000005</v>
      </c>
      <c r="D510" s="4">
        <f>43.6096 * CHOOSE(CONTROL!$C$9, $C$13, 100%, $E$13) + CHOOSE(CONTROL!$C$28, 0, 0)</f>
        <v>43.6096</v>
      </c>
      <c r="E510" s="4">
        <f>219.050748961282 * CHOOSE(CONTROL!$C$9, $C$13, 100%, $E$13) + CHOOSE(CONTROL!$C$28, 0, 0)</f>
        <v>219.05074896128201</v>
      </c>
    </row>
    <row r="511" spans="1:5" ht="15">
      <c r="A511" s="13">
        <v>57435</v>
      </c>
      <c r="B511" s="4">
        <f>40.377 * CHOOSE(CONTROL!$C$9, $C$13, 100%, $E$13) + CHOOSE(CONTROL!$C$28, 0.0003, 0)</f>
        <v>40.377300000000005</v>
      </c>
      <c r="C511" s="4">
        <f>40.0645 * CHOOSE(CONTROL!$C$9, $C$13, 100%, $E$13) + CHOOSE(CONTROL!$C$28, 0.0003, 0)</f>
        <v>40.064800000000005</v>
      </c>
      <c r="D511" s="4">
        <f>45.8364 * CHOOSE(CONTROL!$C$9, $C$13, 100%, $E$13) + CHOOSE(CONTROL!$C$28, 0, 0)</f>
        <v>45.836399999999998</v>
      </c>
      <c r="E511" s="4">
        <f>232.392404125891 * CHOOSE(CONTROL!$C$9, $C$13, 100%, $E$13) + CHOOSE(CONTROL!$C$28, 0, 0)</f>
        <v>232.39240412589101</v>
      </c>
    </row>
    <row r="512" spans="1:5" ht="15">
      <c r="A512" s="13">
        <v>57465</v>
      </c>
      <c r="B512" s="4">
        <f>41.9475 * CHOOSE(CONTROL!$C$9, $C$13, 100%, $E$13) + CHOOSE(CONTROL!$C$28, 0.0003, 0)</f>
        <v>41.947800000000001</v>
      </c>
      <c r="C512" s="4">
        <f>41.635 * CHOOSE(CONTROL!$C$9, $C$13, 100%, $E$13) + CHOOSE(CONTROL!$C$28, 0.0003, 0)</f>
        <v>41.635300000000001</v>
      </c>
      <c r="D512" s="4">
        <f>47.1191 * CHOOSE(CONTROL!$C$9, $C$13, 100%, $E$13) + CHOOSE(CONTROL!$C$28, 0, 0)</f>
        <v>47.119100000000003</v>
      </c>
      <c r="E512" s="4">
        <f>241.871827921279 * CHOOSE(CONTROL!$C$9, $C$13, 100%, $E$13) + CHOOSE(CONTROL!$C$28, 0, 0)</f>
        <v>241.87182792127899</v>
      </c>
    </row>
    <row r="513" spans="1:5" ht="15">
      <c r="A513" s="13">
        <v>57496</v>
      </c>
      <c r="B513" s="4">
        <f>42.907 * CHOOSE(CONTROL!$C$9, $C$13, 100%, $E$13) + CHOOSE(CONTROL!$C$28, 0.0294, 0)</f>
        <v>42.936399999999999</v>
      </c>
      <c r="C513" s="4">
        <f>42.5945 * CHOOSE(CONTROL!$C$9, $C$13, 100%, $E$13) + CHOOSE(CONTROL!$C$28, 0.0294, 0)</f>
        <v>42.623899999999999</v>
      </c>
      <c r="D513" s="4">
        <f>46.6123 * CHOOSE(CONTROL!$C$9, $C$13, 100%, $E$13) + CHOOSE(CONTROL!$C$28, 0, 0)</f>
        <v>46.612299999999998</v>
      </c>
      <c r="E513" s="4">
        <f>247.66352867018 * CHOOSE(CONTROL!$C$9, $C$13, 100%, $E$13) + CHOOSE(CONTROL!$C$28, 0, 0)</f>
        <v>247.66352867018</v>
      </c>
    </row>
    <row r="514" spans="1:5" ht="15">
      <c r="A514" s="13">
        <v>57526</v>
      </c>
      <c r="B514" s="4">
        <f>43.0369 * CHOOSE(CONTROL!$C$9, $C$13, 100%, $E$13) + CHOOSE(CONTROL!$C$28, 0.0294, 0)</f>
        <v>43.066300000000005</v>
      </c>
      <c r="C514" s="4">
        <f>42.7244 * CHOOSE(CONTROL!$C$9, $C$13, 100%, $E$13) + CHOOSE(CONTROL!$C$28, 0.0294, 0)</f>
        <v>42.753800000000005</v>
      </c>
      <c r="D514" s="4">
        <f>47.0251 * CHOOSE(CONTROL!$C$9, $C$13, 100%, $E$13) + CHOOSE(CONTROL!$C$28, 0, 0)</f>
        <v>47.025100000000002</v>
      </c>
      <c r="E514" s="4">
        <f>248.447169817558 * CHOOSE(CONTROL!$C$9, $C$13, 100%, $E$13) + CHOOSE(CONTROL!$C$28, 0, 0)</f>
        <v>248.44716981755801</v>
      </c>
    </row>
    <row r="515" spans="1:5" ht="15">
      <c r="A515" s="13">
        <v>57557</v>
      </c>
      <c r="B515" s="4">
        <f>43.0238 * CHOOSE(CONTROL!$C$9, $C$13, 100%, $E$13) + CHOOSE(CONTROL!$C$28, 0.0294, 0)</f>
        <v>43.053200000000004</v>
      </c>
      <c r="C515" s="4">
        <f>42.7113 * CHOOSE(CONTROL!$C$9, $C$13, 100%, $E$13) + CHOOSE(CONTROL!$C$28, 0.0294, 0)</f>
        <v>42.740700000000004</v>
      </c>
      <c r="D515" s="4">
        <f>47.7699 * CHOOSE(CONTROL!$C$9, $C$13, 100%, $E$13) + CHOOSE(CONTROL!$C$28, 0, 0)</f>
        <v>47.7699</v>
      </c>
      <c r="E515" s="4">
        <f>248.368147180848 * CHOOSE(CONTROL!$C$9, $C$13, 100%, $E$13) + CHOOSE(CONTROL!$C$28, 0, 0)</f>
        <v>248.36814718084801</v>
      </c>
    </row>
    <row r="516" spans="1:5" ht="15">
      <c r="A516" s="13">
        <v>57588</v>
      </c>
      <c r="B516" s="4">
        <f>44.009 * CHOOSE(CONTROL!$C$9, $C$13, 100%, $E$13) + CHOOSE(CONTROL!$C$28, 0.0294, 0)</f>
        <v>44.038400000000003</v>
      </c>
      <c r="C516" s="4">
        <f>43.6965 * CHOOSE(CONTROL!$C$9, $C$13, 100%, $E$13) + CHOOSE(CONTROL!$C$28, 0.0294, 0)</f>
        <v>43.725900000000003</v>
      </c>
      <c r="D516" s="4">
        <f>47.278 * CHOOSE(CONTROL!$C$9, $C$13, 100%, $E$13) + CHOOSE(CONTROL!$C$28, 0, 0)</f>
        <v>47.277999999999999</v>
      </c>
      <c r="E516" s="4">
        <f>254.314600593307 * CHOOSE(CONTROL!$C$9, $C$13, 100%, $E$13) + CHOOSE(CONTROL!$C$28, 0, 0)</f>
        <v>254.31460059330701</v>
      </c>
    </row>
    <row r="517" spans="1:5" ht="15">
      <c r="A517" s="13">
        <v>57618</v>
      </c>
      <c r="B517" s="4">
        <f>42.3299 * CHOOSE(CONTROL!$C$9, $C$13, 100%, $E$13) + CHOOSE(CONTROL!$C$28, 0.0294, 0)</f>
        <v>42.359300000000005</v>
      </c>
      <c r="C517" s="4">
        <f>42.0174 * CHOOSE(CONTROL!$C$9, $C$13, 100%, $E$13) + CHOOSE(CONTROL!$C$28, 0.0294, 0)</f>
        <v>42.046800000000005</v>
      </c>
      <c r="D517" s="4">
        <f>47.0456 * CHOOSE(CONTROL!$C$9, $C$13, 100%, $E$13) + CHOOSE(CONTROL!$C$28, 0, 0)</f>
        <v>47.0456</v>
      </c>
      <c r="E517" s="4">
        <f>244.179947435196 * CHOOSE(CONTROL!$C$9, $C$13, 100%, $E$13) + CHOOSE(CONTROL!$C$28, 0, 0)</f>
        <v>244.179947435196</v>
      </c>
    </row>
    <row r="518" spans="1:5" ht="15">
      <c r="A518" s="13">
        <v>57649</v>
      </c>
      <c r="B518" s="4">
        <f>40.9858 * CHOOSE(CONTROL!$C$9, $C$13, 100%, $E$13) + CHOOSE(CONTROL!$C$28, 0.0003, 0)</f>
        <v>40.9861</v>
      </c>
      <c r="C518" s="4">
        <f>40.6733 * CHOOSE(CONTROL!$C$9, $C$13, 100%, $E$13) + CHOOSE(CONTROL!$C$28, 0.0003, 0)</f>
        <v>40.6736</v>
      </c>
      <c r="D518" s="4">
        <f>46.4233 * CHOOSE(CONTROL!$C$9, $C$13, 100%, $E$13) + CHOOSE(CONTROL!$C$28, 0, 0)</f>
        <v>46.423299999999998</v>
      </c>
      <c r="E518" s="4">
        <f>236.066956732926 * CHOOSE(CONTROL!$C$9, $C$13, 100%, $E$13) + CHOOSE(CONTROL!$C$28, 0, 0)</f>
        <v>236.066956732926</v>
      </c>
    </row>
    <row r="519" spans="1:5" ht="15">
      <c r="A519" s="13">
        <v>57679</v>
      </c>
      <c r="B519" s="4">
        <f>40.12 * CHOOSE(CONTROL!$C$9, $C$13, 100%, $E$13) + CHOOSE(CONTROL!$C$28, 0.0003, 0)</f>
        <v>40.1203</v>
      </c>
      <c r="C519" s="4">
        <f>39.8075 * CHOOSE(CONTROL!$C$9, $C$13, 100%, $E$13) + CHOOSE(CONTROL!$C$28, 0.0003, 0)</f>
        <v>39.8078</v>
      </c>
      <c r="D519" s="4">
        <f>46.2094 * CHOOSE(CONTROL!$C$9, $C$13, 100%, $E$13) + CHOOSE(CONTROL!$C$28, 0, 0)</f>
        <v>46.209400000000002</v>
      </c>
      <c r="E519" s="4">
        <f>230.841584880449 * CHOOSE(CONTROL!$C$9, $C$13, 100%, $E$13) + CHOOSE(CONTROL!$C$28, 0, 0)</f>
        <v>230.84158488044901</v>
      </c>
    </row>
    <row r="520" spans="1:5" ht="15">
      <c r="A520" s="13">
        <v>57710</v>
      </c>
      <c r="B520" s="4">
        <f>39.5211 * CHOOSE(CONTROL!$C$9, $C$13, 100%, $E$13) + CHOOSE(CONTROL!$C$28, 0.0003, 0)</f>
        <v>39.5214</v>
      </c>
      <c r="C520" s="4">
        <f>39.2086 * CHOOSE(CONTROL!$C$9, $C$13, 100%, $E$13) + CHOOSE(CONTROL!$C$28, 0.0003, 0)</f>
        <v>39.2089</v>
      </c>
      <c r="D520" s="4">
        <f>44.6343 * CHOOSE(CONTROL!$C$9, $C$13, 100%, $E$13) + CHOOSE(CONTROL!$C$28, 0, 0)</f>
        <v>44.634300000000003</v>
      </c>
      <c r="E520" s="4">
        <f>227.226299250948 * CHOOSE(CONTROL!$C$9, $C$13, 100%, $E$13) + CHOOSE(CONTROL!$C$28, 0, 0)</f>
        <v>227.22629925094799</v>
      </c>
    </row>
    <row r="521" spans="1:5" ht="15">
      <c r="A521" s="13">
        <v>57741</v>
      </c>
      <c r="B521" s="4">
        <f>38.5479 * CHOOSE(CONTROL!$C$9, $C$13, 100%, $E$13) + CHOOSE(CONTROL!$C$28, 0.0003, 0)</f>
        <v>38.548200000000001</v>
      </c>
      <c r="C521" s="4">
        <f>38.2354 * CHOOSE(CONTROL!$C$9, $C$13, 100%, $E$13) + CHOOSE(CONTROL!$C$28, 0.0003, 0)</f>
        <v>38.235700000000001</v>
      </c>
      <c r="D521" s="4">
        <f>43.1866 * CHOOSE(CONTROL!$C$9, $C$13, 100%, $E$13) + CHOOSE(CONTROL!$C$28, 0, 0)</f>
        <v>43.186599999999999</v>
      </c>
      <c r="E521" s="4">
        <f>220.710314878972 * CHOOSE(CONTROL!$C$9, $C$13, 100%, $E$13) + CHOOSE(CONTROL!$C$28, 0, 0)</f>
        <v>220.71031487897201</v>
      </c>
    </row>
    <row r="522" spans="1:5" ht="15">
      <c r="A522" s="13">
        <v>57769</v>
      </c>
      <c r="B522" s="4">
        <f>39.4186 * CHOOSE(CONTROL!$C$9, $C$13, 100%, $E$13) + CHOOSE(CONTROL!$C$28, 0.0003, 0)</f>
        <v>39.418900000000001</v>
      </c>
      <c r="C522" s="4">
        <f>39.1061 * CHOOSE(CONTROL!$C$9, $C$13, 100%, $E$13) + CHOOSE(CONTROL!$C$28, 0.0003, 0)</f>
        <v>39.106400000000001</v>
      </c>
      <c r="D522" s="4">
        <f>44.6444 * CHOOSE(CONTROL!$C$9, $C$13, 100%, $E$13) + CHOOSE(CONTROL!$C$28, 0, 0)</f>
        <v>44.644399999999997</v>
      </c>
      <c r="E522" s="4">
        <f>225.950847553563 * CHOOSE(CONTROL!$C$9, $C$13, 100%, $E$13) + CHOOSE(CONTROL!$C$28, 0, 0)</f>
        <v>225.95084755356299</v>
      </c>
    </row>
    <row r="523" spans="1:5" ht="15">
      <c r="A523" s="13">
        <v>57800</v>
      </c>
      <c r="B523" s="4">
        <f>41.7053 * CHOOSE(CONTROL!$C$9, $C$13, 100%, $E$13) + CHOOSE(CONTROL!$C$28, 0.0003, 0)</f>
        <v>41.705600000000004</v>
      </c>
      <c r="C523" s="4">
        <f>41.3928 * CHOOSE(CONTROL!$C$9, $C$13, 100%, $E$13) + CHOOSE(CONTROL!$C$28, 0.0003, 0)</f>
        <v>41.393100000000004</v>
      </c>
      <c r="D523" s="4">
        <f>46.9265 * CHOOSE(CONTROL!$C$9, $C$13, 100%, $E$13) + CHOOSE(CONTROL!$C$28, 0, 0)</f>
        <v>46.926499999999997</v>
      </c>
      <c r="E523" s="4">
        <f>239.712764855857 * CHOOSE(CONTROL!$C$9, $C$13, 100%, $E$13) + CHOOSE(CONTROL!$C$28, 0, 0)</f>
        <v>239.71276485585699</v>
      </c>
    </row>
    <row r="524" spans="1:5" ht="15">
      <c r="A524" s="13">
        <v>57830</v>
      </c>
      <c r="B524" s="4">
        <f>43.33 * CHOOSE(CONTROL!$C$9, $C$13, 100%, $E$13) + CHOOSE(CONTROL!$C$28, 0.0003, 0)</f>
        <v>43.330300000000001</v>
      </c>
      <c r="C524" s="4">
        <f>43.0175 * CHOOSE(CONTROL!$C$9, $C$13, 100%, $E$13) + CHOOSE(CONTROL!$C$28, 0.0003, 0)</f>
        <v>43.017800000000001</v>
      </c>
      <c r="D524" s="4">
        <f>48.241 * CHOOSE(CONTROL!$C$9, $C$13, 100%, $E$13) + CHOOSE(CONTROL!$C$28, 0, 0)</f>
        <v>48.241</v>
      </c>
      <c r="E524" s="4">
        <f>249.490790500799 * CHOOSE(CONTROL!$C$9, $C$13, 100%, $E$13) + CHOOSE(CONTROL!$C$28, 0, 0)</f>
        <v>249.49079050079899</v>
      </c>
    </row>
    <row r="525" spans="1:5" ht="15">
      <c r="A525" s="13">
        <v>57861</v>
      </c>
      <c r="B525" s="4">
        <f>44.3227 * CHOOSE(CONTROL!$C$9, $C$13, 100%, $E$13) + CHOOSE(CONTROL!$C$28, 0.0294, 0)</f>
        <v>44.3521</v>
      </c>
      <c r="C525" s="4">
        <f>44.0102 * CHOOSE(CONTROL!$C$9, $C$13, 100%, $E$13) + CHOOSE(CONTROL!$C$28, 0.0294, 0)</f>
        <v>44.0396</v>
      </c>
      <c r="D525" s="4">
        <f>47.7215 * CHOOSE(CONTROL!$C$9, $C$13, 100%, $E$13) + CHOOSE(CONTROL!$C$28, 0, 0)</f>
        <v>47.721499999999999</v>
      </c>
      <c r="E525" s="4">
        <f>255.464929823291 * CHOOSE(CONTROL!$C$9, $C$13, 100%, $E$13) + CHOOSE(CONTROL!$C$28, 0, 0)</f>
        <v>255.46492982329099</v>
      </c>
    </row>
    <row r="526" spans="1:5" ht="15">
      <c r="A526" s="13">
        <v>57891</v>
      </c>
      <c r="B526" s="4">
        <f>44.457 * CHOOSE(CONTROL!$C$9, $C$13, 100%, $E$13) + CHOOSE(CONTROL!$C$28, 0.0294, 0)</f>
        <v>44.486400000000003</v>
      </c>
      <c r="C526" s="4">
        <f>44.1445 * CHOOSE(CONTROL!$C$9, $C$13, 100%, $E$13) + CHOOSE(CONTROL!$C$28, 0.0294, 0)</f>
        <v>44.173900000000003</v>
      </c>
      <c r="D526" s="4">
        <f>48.1446 * CHOOSE(CONTROL!$C$9, $C$13, 100%, $E$13) + CHOOSE(CONTROL!$C$28, 0, 0)</f>
        <v>48.144599999999997</v>
      </c>
      <c r="E526" s="4">
        <f>256.273255666811 * CHOOSE(CONTROL!$C$9, $C$13, 100%, $E$13) + CHOOSE(CONTROL!$C$28, 0, 0)</f>
        <v>256.273255666811</v>
      </c>
    </row>
    <row r="527" spans="1:5" ht="15">
      <c r="A527" s="13">
        <v>57922</v>
      </c>
      <c r="B527" s="4">
        <f>44.4434 * CHOOSE(CONTROL!$C$9, $C$13, 100%, $E$13) + CHOOSE(CONTROL!$C$28, 0.0294, 0)</f>
        <v>44.472799999999999</v>
      </c>
      <c r="C527" s="4">
        <f>44.1309 * CHOOSE(CONTROL!$C$9, $C$13, 100%, $E$13) + CHOOSE(CONTROL!$C$28, 0.0294, 0)</f>
        <v>44.160299999999999</v>
      </c>
      <c r="D527" s="4">
        <f>48.9079 * CHOOSE(CONTROL!$C$9, $C$13, 100%, $E$13) + CHOOSE(CONTROL!$C$28, 0, 0)</f>
        <v>48.907899999999998</v>
      </c>
      <c r="E527" s="4">
        <f>256.191743817044 * CHOOSE(CONTROL!$C$9, $C$13, 100%, $E$13) + CHOOSE(CONTROL!$C$28, 0, 0)</f>
        <v>256.19174381704403</v>
      </c>
    </row>
    <row r="528" spans="1:5" ht="15">
      <c r="A528" s="13">
        <v>57953</v>
      </c>
      <c r="B528" s="4">
        <f>45.4626 * CHOOSE(CONTROL!$C$9, $C$13, 100%, $E$13) + CHOOSE(CONTROL!$C$28, 0.0294, 0)</f>
        <v>45.492000000000004</v>
      </c>
      <c r="C528" s="4">
        <f>45.1501 * CHOOSE(CONTROL!$C$9, $C$13, 100%, $E$13) + CHOOSE(CONTROL!$C$28, 0.0294, 0)</f>
        <v>45.179500000000004</v>
      </c>
      <c r="D528" s="4">
        <f>48.4038 * CHOOSE(CONTROL!$C$9, $C$13, 100%, $E$13) + CHOOSE(CONTROL!$C$28, 0, 0)</f>
        <v>48.403799999999997</v>
      </c>
      <c r="E528" s="4">
        <f>262.325510511996 * CHOOSE(CONTROL!$C$9, $C$13, 100%, $E$13) + CHOOSE(CONTROL!$C$28, 0, 0)</f>
        <v>262.32551051199601</v>
      </c>
    </row>
    <row r="529" spans="1:5" ht="15">
      <c r="A529" s="13">
        <v>57983</v>
      </c>
      <c r="B529" s="4">
        <f>43.7256 * CHOOSE(CONTROL!$C$9, $C$13, 100%, $E$13) + CHOOSE(CONTROL!$C$28, 0.0294, 0)</f>
        <v>43.755000000000003</v>
      </c>
      <c r="C529" s="4">
        <f>43.4131 * CHOOSE(CONTROL!$C$9, $C$13, 100%, $E$13) + CHOOSE(CONTROL!$C$28, 0.0294, 0)</f>
        <v>43.442500000000003</v>
      </c>
      <c r="D529" s="4">
        <f>48.1656 * CHOOSE(CONTROL!$C$9, $C$13, 100%, $E$13) + CHOOSE(CONTROL!$C$28, 0, 0)</f>
        <v>48.165599999999998</v>
      </c>
      <c r="E529" s="4">
        <f>251.871615779404 * CHOOSE(CONTROL!$C$9, $C$13, 100%, $E$13) + CHOOSE(CONTROL!$C$28, 0, 0)</f>
        <v>251.87161577940401</v>
      </c>
    </row>
    <row r="530" spans="1:5" ht="15">
      <c r="A530" s="13">
        <v>58014</v>
      </c>
      <c r="B530" s="4">
        <f>42.3351 * CHOOSE(CONTROL!$C$9, $C$13, 100%, $E$13) + CHOOSE(CONTROL!$C$28, 0.0003, 0)</f>
        <v>42.3354</v>
      </c>
      <c r="C530" s="4">
        <f>42.0226 * CHOOSE(CONTROL!$C$9, $C$13, 100%, $E$13) + CHOOSE(CONTROL!$C$28, 0.0003, 0)</f>
        <v>42.0229</v>
      </c>
      <c r="D530" s="4">
        <f>47.5279 * CHOOSE(CONTROL!$C$9, $C$13, 100%, $E$13) + CHOOSE(CONTROL!$C$28, 0, 0)</f>
        <v>47.527900000000002</v>
      </c>
      <c r="E530" s="4">
        <f>243.503065870013 * CHOOSE(CONTROL!$C$9, $C$13, 100%, $E$13) + CHOOSE(CONTROL!$C$28, 0, 0)</f>
        <v>243.50306587001299</v>
      </c>
    </row>
    <row r="531" spans="1:5" ht="15">
      <c r="A531" s="13">
        <v>58044</v>
      </c>
      <c r="B531" s="4">
        <f>41.4395 * CHOOSE(CONTROL!$C$9, $C$13, 100%, $E$13) + CHOOSE(CONTROL!$C$28, 0.0003, 0)</f>
        <v>41.439800000000005</v>
      </c>
      <c r="C531" s="4">
        <f>41.127 * CHOOSE(CONTROL!$C$9, $C$13, 100%, $E$13) + CHOOSE(CONTROL!$C$28, 0.0003, 0)</f>
        <v>41.127300000000005</v>
      </c>
      <c r="D531" s="4">
        <f>47.3087 * CHOOSE(CONTROL!$C$9, $C$13, 100%, $E$13) + CHOOSE(CONTROL!$C$28, 0, 0)</f>
        <v>47.308700000000002</v>
      </c>
      <c r="E531" s="4">
        <f>238.113094804184 * CHOOSE(CONTROL!$C$9, $C$13, 100%, $E$13) + CHOOSE(CONTROL!$C$28, 0, 0)</f>
        <v>238.11309480418399</v>
      </c>
    </row>
    <row r="532" spans="1:5" ht="15">
      <c r="A532" s="13">
        <v>58075</v>
      </c>
      <c r="B532" s="4">
        <f>40.8199 * CHOOSE(CONTROL!$C$9, $C$13, 100%, $E$13) + CHOOSE(CONTROL!$C$28, 0.0003, 0)</f>
        <v>40.8202</v>
      </c>
      <c r="C532" s="4">
        <f>40.5074 * CHOOSE(CONTROL!$C$9, $C$13, 100%, $E$13) + CHOOSE(CONTROL!$C$28, 0.0003, 0)</f>
        <v>40.5077</v>
      </c>
      <c r="D532" s="4">
        <f>45.6945 * CHOOSE(CONTROL!$C$9, $C$13, 100%, $E$13) + CHOOSE(CONTROL!$C$28, 0, 0)</f>
        <v>45.694499999999998</v>
      </c>
      <c r="E532" s="4">
        <f>234.383927677353 * CHOOSE(CONTROL!$C$9, $C$13, 100%, $E$13) + CHOOSE(CONTROL!$C$28, 0, 0)</f>
        <v>234.383927677353</v>
      </c>
    </row>
    <row r="533" spans="1:5" ht="15">
      <c r="A533" s="13">
        <v>58106</v>
      </c>
      <c r="B533" s="4">
        <f>39.8131 * CHOOSE(CONTROL!$C$9, $C$13, 100%, $E$13) + CHOOSE(CONTROL!$C$28, 0.0003, 0)</f>
        <v>39.813400000000001</v>
      </c>
      <c r="C533" s="4">
        <f>39.5006 * CHOOSE(CONTROL!$C$9, $C$13, 100%, $E$13) + CHOOSE(CONTROL!$C$28, 0.0003, 0)</f>
        <v>39.500900000000001</v>
      </c>
      <c r="D533" s="4">
        <f>44.211 * CHOOSE(CONTROL!$C$9, $C$13, 100%, $E$13) + CHOOSE(CONTROL!$C$28, 0, 0)</f>
        <v>44.210999999999999</v>
      </c>
      <c r="E533" s="4">
        <f>227.66268979766 * CHOOSE(CONTROL!$C$9, $C$13, 100%, $E$13) + CHOOSE(CONTROL!$C$28, 0, 0)</f>
        <v>227.66268979765999</v>
      </c>
    </row>
    <row r="534" spans="1:5" ht="15">
      <c r="A534" s="13">
        <v>58134</v>
      </c>
      <c r="B534" s="4">
        <f>40.7139 * CHOOSE(CONTROL!$C$9, $C$13, 100%, $E$13) + CHOOSE(CONTROL!$C$28, 0.0003, 0)</f>
        <v>40.714200000000005</v>
      </c>
      <c r="C534" s="4">
        <f>40.4014 * CHOOSE(CONTROL!$C$9, $C$13, 100%, $E$13) + CHOOSE(CONTROL!$C$28, 0.0003, 0)</f>
        <v>40.401700000000005</v>
      </c>
      <c r="D534" s="4">
        <f>45.7049 * CHOOSE(CONTROL!$C$9, $C$13, 100%, $E$13) + CHOOSE(CONTROL!$C$28, 0, 0)</f>
        <v>45.704900000000002</v>
      </c>
      <c r="E534" s="4">
        <f>233.0682992515 * CHOOSE(CONTROL!$C$9, $C$13, 100%, $E$13) + CHOOSE(CONTROL!$C$28, 0, 0)</f>
        <v>233.06829925150001</v>
      </c>
    </row>
    <row r="535" spans="1:5" ht="15">
      <c r="A535" s="13">
        <v>58165</v>
      </c>
      <c r="B535" s="4">
        <f>43.0794 * CHOOSE(CONTROL!$C$9, $C$13, 100%, $E$13) + CHOOSE(CONTROL!$C$28, 0.0003, 0)</f>
        <v>43.079700000000003</v>
      </c>
      <c r="C535" s="4">
        <f>42.7669 * CHOOSE(CONTROL!$C$9, $C$13, 100%, $E$13) + CHOOSE(CONTROL!$C$28, 0.0003, 0)</f>
        <v>42.767200000000003</v>
      </c>
      <c r="D535" s="4">
        <f>48.0435 * CHOOSE(CONTROL!$C$9, $C$13, 100%, $E$13) + CHOOSE(CONTROL!$C$28, 0, 0)</f>
        <v>48.043500000000002</v>
      </c>
      <c r="E535" s="4">
        <f>247.263716948816 * CHOOSE(CONTROL!$C$9, $C$13, 100%, $E$13) + CHOOSE(CONTROL!$C$28, 0, 0)</f>
        <v>247.26371694881601</v>
      </c>
    </row>
    <row r="536" spans="1:5" ht="15">
      <c r="A536" s="13">
        <v>58195</v>
      </c>
      <c r="B536" s="4">
        <f>44.7602 * CHOOSE(CONTROL!$C$9, $C$13, 100%, $E$13) + CHOOSE(CONTROL!$C$28, 0.0003, 0)</f>
        <v>44.7605</v>
      </c>
      <c r="C536" s="4">
        <f>44.4477 * CHOOSE(CONTROL!$C$9, $C$13, 100%, $E$13) + CHOOSE(CONTROL!$C$28, 0.0003, 0)</f>
        <v>44.448</v>
      </c>
      <c r="D536" s="4">
        <f>49.3907 * CHOOSE(CONTROL!$C$9, $C$13, 100%, $E$13) + CHOOSE(CONTROL!$C$28, 0, 0)</f>
        <v>49.390700000000002</v>
      </c>
      <c r="E536" s="4">
        <f>257.349750401574 * CHOOSE(CONTROL!$C$9, $C$13, 100%, $E$13) + CHOOSE(CONTROL!$C$28, 0, 0)</f>
        <v>257.349750401574</v>
      </c>
    </row>
    <row r="537" spans="1:5" ht="15">
      <c r="A537" s="13">
        <v>58226</v>
      </c>
      <c r="B537" s="4">
        <f>45.7871 * CHOOSE(CONTROL!$C$9, $C$13, 100%, $E$13) + CHOOSE(CONTROL!$C$28, 0.0294, 0)</f>
        <v>45.816500000000005</v>
      </c>
      <c r="C537" s="4">
        <f>45.4746 * CHOOSE(CONTROL!$C$9, $C$13, 100%, $E$13) + CHOOSE(CONTROL!$C$28, 0.0294, 0)</f>
        <v>45.504000000000005</v>
      </c>
      <c r="D537" s="4">
        <f>48.8584 * CHOOSE(CONTROL!$C$9, $C$13, 100%, $E$13) + CHOOSE(CONTROL!$C$28, 0, 0)</f>
        <v>48.858400000000003</v>
      </c>
      <c r="E537" s="4">
        <f>263.512075112724 * CHOOSE(CONTROL!$C$9, $C$13, 100%, $E$13) + CHOOSE(CONTROL!$C$28, 0, 0)</f>
        <v>263.51207511272401</v>
      </c>
    </row>
    <row r="538" spans="1:5" ht="15">
      <c r="A538" s="13">
        <v>58256</v>
      </c>
      <c r="B538" s="4">
        <f>45.926 * CHOOSE(CONTROL!$C$9, $C$13, 100%, $E$13) + CHOOSE(CONTROL!$C$28, 0.0294, 0)</f>
        <v>45.955400000000004</v>
      </c>
      <c r="C538" s="4">
        <f>45.6135 * CHOOSE(CONTROL!$C$9, $C$13, 100%, $E$13) + CHOOSE(CONTROL!$C$28, 0.0294, 0)</f>
        <v>45.642900000000004</v>
      </c>
      <c r="D538" s="4">
        <f>49.2919 * CHOOSE(CONTROL!$C$9, $C$13, 100%, $E$13) + CHOOSE(CONTROL!$C$28, 0, 0)</f>
        <v>49.291899999999998</v>
      </c>
      <c r="E538" s="4">
        <f>264.345863220316 * CHOOSE(CONTROL!$C$9, $C$13, 100%, $E$13) + CHOOSE(CONTROL!$C$28, 0, 0)</f>
        <v>264.34586322031601</v>
      </c>
    </row>
    <row r="539" spans="1:5" ht="15">
      <c r="A539" s="13">
        <v>58287</v>
      </c>
      <c r="B539" s="4">
        <f>45.912 * CHOOSE(CONTROL!$C$9, $C$13, 100%, $E$13) + CHOOSE(CONTROL!$C$28, 0.0294, 0)</f>
        <v>45.941400000000002</v>
      </c>
      <c r="C539" s="4">
        <f>45.5995 * CHOOSE(CONTROL!$C$9, $C$13, 100%, $E$13) + CHOOSE(CONTROL!$C$28, 0.0294, 0)</f>
        <v>45.628900000000002</v>
      </c>
      <c r="D539" s="4">
        <f>50.0741 * CHOOSE(CONTROL!$C$9, $C$13, 100%, $E$13) + CHOOSE(CONTROL!$C$28, 0, 0)</f>
        <v>50.074100000000001</v>
      </c>
      <c r="E539" s="4">
        <f>264.261783747281 * CHOOSE(CONTROL!$C$9, $C$13, 100%, $E$13) + CHOOSE(CONTROL!$C$28, 0, 0)</f>
        <v>264.26178374728102</v>
      </c>
    </row>
    <row r="540" spans="1:5" ht="15">
      <c r="A540" s="13">
        <v>58318</v>
      </c>
      <c r="B540" s="4">
        <f>46.9664 * CHOOSE(CONTROL!$C$9, $C$13, 100%, $E$13) + CHOOSE(CONTROL!$C$28, 0.0294, 0)</f>
        <v>46.995800000000003</v>
      </c>
      <c r="C540" s="4">
        <f>46.6539 * CHOOSE(CONTROL!$C$9, $C$13, 100%, $E$13) + CHOOSE(CONTROL!$C$28, 0.0294, 0)</f>
        <v>46.683300000000003</v>
      </c>
      <c r="D540" s="4">
        <f>49.5575 * CHOOSE(CONTROL!$C$9, $C$13, 100%, $E$13) + CHOOSE(CONTROL!$C$28, 0, 0)</f>
        <v>49.557499999999997</v>
      </c>
      <c r="E540" s="4">
        <f>270.588764093124 * CHOOSE(CONTROL!$C$9, $C$13, 100%, $E$13) + CHOOSE(CONTROL!$C$28, 0, 0)</f>
        <v>270.58876409312398</v>
      </c>
    </row>
    <row r="541" spans="1:5" ht="15">
      <c r="A541" s="13">
        <v>58348</v>
      </c>
      <c r="B541" s="4">
        <f>45.1694 * CHOOSE(CONTROL!$C$9, $C$13, 100%, $E$13) + CHOOSE(CONTROL!$C$28, 0.0294, 0)</f>
        <v>45.198800000000006</v>
      </c>
      <c r="C541" s="4">
        <f>44.8569 * CHOOSE(CONTROL!$C$9, $C$13, 100%, $E$13) + CHOOSE(CONTROL!$C$28, 0.0294, 0)</f>
        <v>44.886300000000006</v>
      </c>
      <c r="D541" s="4">
        <f>49.3134 * CHOOSE(CONTROL!$C$9, $C$13, 100%, $E$13) + CHOOSE(CONTROL!$C$28, 0, 0)</f>
        <v>49.313400000000001</v>
      </c>
      <c r="E541" s="4">
        <f>259.805571676456 * CHOOSE(CONTROL!$C$9, $C$13, 100%, $E$13) + CHOOSE(CONTROL!$C$28, 0, 0)</f>
        <v>259.805571676456</v>
      </c>
    </row>
    <row r="542" spans="1:5" ht="15">
      <c r="A542" s="13">
        <v>58379</v>
      </c>
      <c r="B542" s="4">
        <f>43.731 * CHOOSE(CONTROL!$C$9, $C$13, 100%, $E$13) + CHOOSE(CONTROL!$C$28, 0.0003, 0)</f>
        <v>43.731300000000005</v>
      </c>
      <c r="C542" s="4">
        <f>43.4185 * CHOOSE(CONTROL!$C$9, $C$13, 100%, $E$13) + CHOOSE(CONTROL!$C$28, 0.0003, 0)</f>
        <v>43.418800000000005</v>
      </c>
      <c r="D542" s="4">
        <f>48.6599 * CHOOSE(CONTROL!$C$9, $C$13, 100%, $E$13) + CHOOSE(CONTROL!$C$28, 0, 0)</f>
        <v>48.6599</v>
      </c>
      <c r="E542" s="4">
        <f>251.173412444918 * CHOOSE(CONTROL!$C$9, $C$13, 100%, $E$13) + CHOOSE(CONTROL!$C$28, 0, 0)</f>
        <v>251.173412444918</v>
      </c>
    </row>
    <row r="543" spans="1:5" ht="15">
      <c r="A543" s="13">
        <v>58409</v>
      </c>
      <c r="B543" s="4">
        <f>42.8045 * CHOOSE(CONTROL!$C$9, $C$13, 100%, $E$13) + CHOOSE(CONTROL!$C$28, 0.0003, 0)</f>
        <v>42.8048</v>
      </c>
      <c r="C543" s="4">
        <f>42.492 * CHOOSE(CONTROL!$C$9, $C$13, 100%, $E$13) + CHOOSE(CONTROL!$C$28, 0.0003, 0)</f>
        <v>42.4923</v>
      </c>
      <c r="D543" s="4">
        <f>48.4352 * CHOOSE(CONTROL!$C$9, $C$13, 100%, $E$13) + CHOOSE(CONTROL!$C$28, 0, 0)</f>
        <v>48.435200000000002</v>
      </c>
      <c r="E543" s="4">
        <f>245.613657290515 * CHOOSE(CONTROL!$C$9, $C$13, 100%, $E$13) + CHOOSE(CONTROL!$C$28, 0, 0)</f>
        <v>245.61365729051499</v>
      </c>
    </row>
    <row r="544" spans="1:5" ht="15">
      <c r="A544" s="13">
        <v>58440</v>
      </c>
      <c r="B544" s="4">
        <f>42.1635 * CHOOSE(CONTROL!$C$9, $C$13, 100%, $E$13) + CHOOSE(CONTROL!$C$28, 0.0003, 0)</f>
        <v>42.163800000000002</v>
      </c>
      <c r="C544" s="4">
        <f>41.851 * CHOOSE(CONTROL!$C$9, $C$13, 100%, $E$13) + CHOOSE(CONTROL!$C$28, 0.0003, 0)</f>
        <v>41.851300000000002</v>
      </c>
      <c r="D544" s="4">
        <f>46.781 * CHOOSE(CONTROL!$C$9, $C$13, 100%, $E$13) + CHOOSE(CONTROL!$C$28, 0, 0)</f>
        <v>46.780999999999999</v>
      </c>
      <c r="E544" s="4">
        <f>241.767021399189 * CHOOSE(CONTROL!$C$9, $C$13, 100%, $E$13) + CHOOSE(CONTROL!$C$28, 0, 0)</f>
        <v>241.76702139918899</v>
      </c>
    </row>
    <row r="545" spans="1:5" ht="15">
      <c r="A545" s="13">
        <v>58471</v>
      </c>
      <c r="B545" s="4">
        <f>41.122 * CHOOSE(CONTROL!$C$9, $C$13, 100%, $E$13) + CHOOSE(CONTROL!$C$28, 0.0003, 0)</f>
        <v>41.122300000000003</v>
      </c>
      <c r="C545" s="4">
        <f>40.8095 * CHOOSE(CONTROL!$C$9, $C$13, 100%, $E$13) + CHOOSE(CONTROL!$C$28, 0.0003, 0)</f>
        <v>40.809800000000003</v>
      </c>
      <c r="D545" s="4">
        <f>45.2607 * CHOOSE(CONTROL!$C$9, $C$13, 100%, $E$13) + CHOOSE(CONTROL!$C$28, 0, 0)</f>
        <v>45.2607</v>
      </c>
      <c r="E545" s="4">
        <f>234.834064526286 * CHOOSE(CONTROL!$C$9, $C$13, 100%, $E$13) + CHOOSE(CONTROL!$C$28, 0, 0)</f>
        <v>234.834064526286</v>
      </c>
    </row>
    <row r="546" spans="1:5" ht="15">
      <c r="A546" s="13">
        <v>58499</v>
      </c>
      <c r="B546" s="4">
        <f>42.0538 * CHOOSE(CONTROL!$C$9, $C$13, 100%, $E$13) + CHOOSE(CONTROL!$C$28, 0.0003, 0)</f>
        <v>42.054100000000005</v>
      </c>
      <c r="C546" s="4">
        <f>41.7413 * CHOOSE(CONTROL!$C$9, $C$13, 100%, $E$13) + CHOOSE(CONTROL!$C$28, 0.0003, 0)</f>
        <v>41.741600000000005</v>
      </c>
      <c r="D546" s="4">
        <f>46.7917 * CHOOSE(CONTROL!$C$9, $C$13, 100%, $E$13) + CHOOSE(CONTROL!$C$28, 0, 0)</f>
        <v>46.791699999999999</v>
      </c>
      <c r="E546" s="4">
        <f>240.409950677922 * CHOOSE(CONTROL!$C$9, $C$13, 100%, $E$13) + CHOOSE(CONTROL!$C$28, 0, 0)</f>
        <v>240.40995067792201</v>
      </c>
    </row>
    <row r="547" spans="1:5" ht="15">
      <c r="A547" s="13">
        <v>58531</v>
      </c>
      <c r="B547" s="4">
        <f>44.501 * CHOOSE(CONTROL!$C$9, $C$13, 100%, $E$13) + CHOOSE(CONTROL!$C$28, 0.0003, 0)</f>
        <v>44.501300000000001</v>
      </c>
      <c r="C547" s="4">
        <f>44.1885 * CHOOSE(CONTROL!$C$9, $C$13, 100%, $E$13) + CHOOSE(CONTROL!$C$28, 0.0003, 0)</f>
        <v>44.188800000000001</v>
      </c>
      <c r="D547" s="4">
        <f>49.1883 * CHOOSE(CONTROL!$C$9, $C$13, 100%, $E$13) + CHOOSE(CONTROL!$C$28, 0, 0)</f>
        <v>49.188299999999998</v>
      </c>
      <c r="E547" s="4">
        <f>255.052524032704 * CHOOSE(CONTROL!$C$9, $C$13, 100%, $E$13) + CHOOSE(CONTROL!$C$28, 0, 0)</f>
        <v>255.05252403270401</v>
      </c>
    </row>
    <row r="548" spans="1:5" ht="15">
      <c r="A548" s="13">
        <v>58561</v>
      </c>
      <c r="B548" s="4">
        <f>46.2397 * CHOOSE(CONTROL!$C$9, $C$13, 100%, $E$13) + CHOOSE(CONTROL!$C$28, 0.0003, 0)</f>
        <v>46.24</v>
      </c>
      <c r="C548" s="4">
        <f>45.9272 * CHOOSE(CONTROL!$C$9, $C$13, 100%, $E$13) + CHOOSE(CONTROL!$C$28, 0.0003, 0)</f>
        <v>45.927500000000002</v>
      </c>
      <c r="D548" s="4">
        <f>50.5689 * CHOOSE(CONTROL!$C$9, $C$13, 100%, $E$13) + CHOOSE(CONTROL!$C$28, 0, 0)</f>
        <v>50.568899999999999</v>
      </c>
      <c r="E548" s="4">
        <f>265.456267539224 * CHOOSE(CONTROL!$C$9, $C$13, 100%, $E$13) + CHOOSE(CONTROL!$C$28, 0, 0)</f>
        <v>265.45626753922397</v>
      </c>
    </row>
    <row r="549" spans="1:5" ht="15">
      <c r="A549" s="13">
        <v>58592</v>
      </c>
      <c r="B549" s="4">
        <f>47.3021 * CHOOSE(CONTROL!$C$9, $C$13, 100%, $E$13) + CHOOSE(CONTROL!$C$28, 0.0294, 0)</f>
        <v>47.331500000000005</v>
      </c>
      <c r="C549" s="4">
        <f>46.9896 * CHOOSE(CONTROL!$C$9, $C$13, 100%, $E$13) + CHOOSE(CONTROL!$C$28, 0.0294, 0)</f>
        <v>47.019000000000005</v>
      </c>
      <c r="D549" s="4">
        <f>50.0233 * CHOOSE(CONTROL!$C$9, $C$13, 100%, $E$13) + CHOOSE(CONTROL!$C$28, 0, 0)</f>
        <v>50.023299999999999</v>
      </c>
      <c r="E549" s="4">
        <f>271.812705478775 * CHOOSE(CONTROL!$C$9, $C$13, 100%, $E$13) + CHOOSE(CONTROL!$C$28, 0, 0)</f>
        <v>271.812705478775</v>
      </c>
    </row>
    <row r="550" spans="1:5" ht="15">
      <c r="A550" s="13">
        <v>58622</v>
      </c>
      <c r="B550" s="4">
        <f>47.4458 * CHOOSE(CONTROL!$C$9, $C$13, 100%, $E$13) + CHOOSE(CONTROL!$C$28, 0.0294, 0)</f>
        <v>47.475200000000001</v>
      </c>
      <c r="C550" s="4">
        <f>47.1333 * CHOOSE(CONTROL!$C$9, $C$13, 100%, $E$13) + CHOOSE(CONTROL!$C$28, 0.0294, 0)</f>
        <v>47.162700000000001</v>
      </c>
      <c r="D550" s="4">
        <f>50.4676 * CHOOSE(CONTROL!$C$9, $C$13, 100%, $E$13) + CHOOSE(CONTROL!$C$28, 0, 0)</f>
        <v>50.467599999999997</v>
      </c>
      <c r="E550" s="4">
        <f>272.672757911756 * CHOOSE(CONTROL!$C$9, $C$13, 100%, $E$13) + CHOOSE(CONTROL!$C$28, 0, 0)</f>
        <v>272.67275791175598</v>
      </c>
    </row>
    <row r="551" spans="1:5" ht="15">
      <c r="A551" s="13">
        <v>58653</v>
      </c>
      <c r="B551" s="4">
        <f>47.4313 * CHOOSE(CONTROL!$C$9, $C$13, 100%, $E$13) + CHOOSE(CONTROL!$C$28, 0.0294, 0)</f>
        <v>47.460700000000003</v>
      </c>
      <c r="C551" s="4">
        <f>47.1188 * CHOOSE(CONTROL!$C$9, $C$13, 100%, $E$13) + CHOOSE(CONTROL!$C$28, 0.0294, 0)</f>
        <v>47.148200000000003</v>
      </c>
      <c r="D551" s="4">
        <f>51.2693 * CHOOSE(CONTROL!$C$9, $C$13, 100%, $E$13) + CHOOSE(CONTROL!$C$28, 0, 0)</f>
        <v>51.269300000000001</v>
      </c>
      <c r="E551" s="4">
        <f>272.586029935321 * CHOOSE(CONTROL!$C$9, $C$13, 100%, $E$13) + CHOOSE(CONTROL!$C$28, 0, 0)</f>
        <v>272.58602993532099</v>
      </c>
    </row>
    <row r="552" spans="1:5" ht="15">
      <c r="A552" s="13">
        <v>58684</v>
      </c>
      <c r="B552" s="4">
        <f>48.522 * CHOOSE(CONTROL!$C$9, $C$13, 100%, $E$13) + CHOOSE(CONTROL!$C$28, 0.0294, 0)</f>
        <v>48.551400000000001</v>
      </c>
      <c r="C552" s="4">
        <f>48.2095 * CHOOSE(CONTROL!$C$9, $C$13, 100%, $E$13) + CHOOSE(CONTROL!$C$28, 0.0294, 0)</f>
        <v>48.238900000000001</v>
      </c>
      <c r="D552" s="4">
        <f>50.7399 * CHOOSE(CONTROL!$C$9, $C$13, 100%, $E$13) + CHOOSE(CONTROL!$C$28, 0, 0)</f>
        <v>50.739899999999999</v>
      </c>
      <c r="E552" s="4">
        <f>279.112310162057 * CHOOSE(CONTROL!$C$9, $C$13, 100%, $E$13) + CHOOSE(CONTROL!$C$28, 0, 0)</f>
        <v>279.11231016205699</v>
      </c>
    </row>
    <row r="553" spans="1:5" ht="15">
      <c r="A553" s="13">
        <v>58714</v>
      </c>
      <c r="B553" s="4">
        <f>46.6631 * CHOOSE(CONTROL!$C$9, $C$13, 100%, $E$13) + CHOOSE(CONTROL!$C$28, 0.0294, 0)</f>
        <v>46.692500000000003</v>
      </c>
      <c r="C553" s="4">
        <f>46.3506 * CHOOSE(CONTROL!$C$9, $C$13, 100%, $E$13) + CHOOSE(CONTROL!$C$28, 0.0294, 0)</f>
        <v>46.38</v>
      </c>
      <c r="D553" s="4">
        <f>50.4897 * CHOOSE(CONTROL!$C$9, $C$13, 100%, $E$13) + CHOOSE(CONTROL!$C$28, 0, 0)</f>
        <v>50.489699999999999</v>
      </c>
      <c r="E553" s="4">
        <f>267.989447184264 * CHOOSE(CONTROL!$C$9, $C$13, 100%, $E$13) + CHOOSE(CONTROL!$C$28, 0, 0)</f>
        <v>267.98944718426401</v>
      </c>
    </row>
    <row r="554" spans="1:5" ht="15">
      <c r="A554" s="13">
        <v>58745</v>
      </c>
      <c r="B554" s="4">
        <f>45.175 * CHOOSE(CONTROL!$C$9, $C$13, 100%, $E$13) + CHOOSE(CONTROL!$C$28, 0.0003, 0)</f>
        <v>45.1753</v>
      </c>
      <c r="C554" s="4">
        <f>44.8625 * CHOOSE(CONTROL!$C$9, $C$13, 100%, $E$13) + CHOOSE(CONTROL!$C$28, 0.0003, 0)</f>
        <v>44.8628</v>
      </c>
      <c r="D554" s="4">
        <f>49.82 * CHOOSE(CONTROL!$C$9, $C$13, 100%, $E$13) + CHOOSE(CONTROL!$C$28, 0, 0)</f>
        <v>49.82</v>
      </c>
      <c r="E554" s="4">
        <f>259.085374936933 * CHOOSE(CONTROL!$C$9, $C$13, 100%, $E$13) + CHOOSE(CONTROL!$C$28, 0, 0)</f>
        <v>259.08537493693302</v>
      </c>
    </row>
    <row r="555" spans="1:5" ht="15">
      <c r="A555" s="13">
        <v>58775</v>
      </c>
      <c r="B555" s="4">
        <f>44.2165 * CHOOSE(CONTROL!$C$9, $C$13, 100%, $E$13) + CHOOSE(CONTROL!$C$28, 0.0003, 0)</f>
        <v>44.216800000000006</v>
      </c>
      <c r="C555" s="4">
        <f>43.904 * CHOOSE(CONTROL!$C$9, $C$13, 100%, $E$13) + CHOOSE(CONTROL!$C$28, 0.0003, 0)</f>
        <v>43.904300000000006</v>
      </c>
      <c r="D555" s="4">
        <f>49.5897 * CHOOSE(CONTROL!$C$9, $C$13, 100%, $E$13) + CHOOSE(CONTROL!$C$28, 0, 0)</f>
        <v>49.589700000000001</v>
      </c>
      <c r="E555" s="4">
        <f>253.350487495167 * CHOOSE(CONTROL!$C$9, $C$13, 100%, $E$13) + CHOOSE(CONTROL!$C$28, 0, 0)</f>
        <v>253.35048749516699</v>
      </c>
    </row>
    <row r="556" spans="1:5" ht="15">
      <c r="A556" s="13">
        <v>58806</v>
      </c>
      <c r="B556" s="4">
        <f>43.5534 * CHOOSE(CONTROL!$C$9, $C$13, 100%, $E$13) + CHOOSE(CONTROL!$C$28, 0.0003, 0)</f>
        <v>43.553700000000006</v>
      </c>
      <c r="C556" s="4">
        <f>43.2409 * CHOOSE(CONTROL!$C$9, $C$13, 100%, $E$13) + CHOOSE(CONTROL!$C$28, 0.0003, 0)</f>
        <v>43.241200000000006</v>
      </c>
      <c r="D556" s="4">
        <f>47.8945 * CHOOSE(CONTROL!$C$9, $C$13, 100%, $E$13) + CHOOSE(CONTROL!$C$28, 0, 0)</f>
        <v>47.894500000000001</v>
      </c>
      <c r="E556" s="4">
        <f>249.382682573264 * CHOOSE(CONTROL!$C$9, $C$13, 100%, $E$13) + CHOOSE(CONTROL!$C$28, 0, 0)</f>
        <v>249.38268257326399</v>
      </c>
    </row>
    <row r="557" spans="1:5" ht="15">
      <c r="A557" s="13">
        <v>58837</v>
      </c>
      <c r="B557" s="4">
        <f>42.476 * CHOOSE(CONTROL!$C$9, $C$13, 100%, $E$13) + CHOOSE(CONTROL!$C$28, 0.0003, 0)</f>
        <v>42.476300000000002</v>
      </c>
      <c r="C557" s="4">
        <f>42.1635 * CHOOSE(CONTROL!$C$9, $C$13, 100%, $E$13) + CHOOSE(CONTROL!$C$28, 0.0003, 0)</f>
        <v>42.163800000000002</v>
      </c>
      <c r="D557" s="4">
        <f>46.3365 * CHOOSE(CONTROL!$C$9, $C$13, 100%, $E$13) + CHOOSE(CONTROL!$C$28, 0, 0)</f>
        <v>46.336500000000001</v>
      </c>
      <c r="E557" s="4">
        <f>242.231337558864 * CHOOSE(CONTROL!$C$9, $C$13, 100%, $E$13) + CHOOSE(CONTROL!$C$28, 0, 0)</f>
        <v>242.231337558864</v>
      </c>
    </row>
    <row r="558" spans="1:5" ht="15">
      <c r="A558" s="13">
        <v>58865</v>
      </c>
      <c r="B558" s="4">
        <f>43.44 * CHOOSE(CONTROL!$C$9, $C$13, 100%, $E$13) + CHOOSE(CONTROL!$C$28, 0.0003, 0)</f>
        <v>43.440300000000001</v>
      </c>
      <c r="C558" s="4">
        <f>43.1275 * CHOOSE(CONTROL!$C$9, $C$13, 100%, $E$13) + CHOOSE(CONTROL!$C$28, 0.0003, 0)</f>
        <v>43.127800000000001</v>
      </c>
      <c r="D558" s="4">
        <f>47.9054 * CHOOSE(CONTROL!$C$9, $C$13, 100%, $E$13) + CHOOSE(CONTROL!$C$28, 0, 0)</f>
        <v>47.9054</v>
      </c>
      <c r="E558" s="4">
        <f>247.982864124277 * CHOOSE(CONTROL!$C$9, $C$13, 100%, $E$13) + CHOOSE(CONTROL!$C$28, 0, 0)</f>
        <v>247.982864124277</v>
      </c>
    </row>
    <row r="559" spans="1:5" ht="15">
      <c r="A559" s="13">
        <v>58893</v>
      </c>
      <c r="B559" s="4">
        <f>45.9716 * CHOOSE(CONTROL!$C$9, $C$13, 100%, $E$13) + CHOOSE(CONTROL!$C$28, 0.0003, 0)</f>
        <v>45.971900000000005</v>
      </c>
      <c r="C559" s="4">
        <f>45.6591 * CHOOSE(CONTROL!$C$9, $C$13, 100%, $E$13) + CHOOSE(CONTROL!$C$28, 0.0003, 0)</f>
        <v>45.659400000000005</v>
      </c>
      <c r="D559" s="4">
        <f>50.3615 * CHOOSE(CONTROL!$C$9, $C$13, 100%, $E$13) + CHOOSE(CONTROL!$C$28, 0, 0)</f>
        <v>50.361499999999999</v>
      </c>
      <c r="E559" s="4">
        <f>263.086678539734 * CHOOSE(CONTROL!$C$9, $C$13, 100%, $E$13) + CHOOSE(CONTROL!$C$28, 0, 0)</f>
        <v>263.08667853973401</v>
      </c>
    </row>
    <row r="560" spans="1:5" ht="15">
      <c r="A560" s="13">
        <v>58926</v>
      </c>
      <c r="B560" s="4">
        <f>47.7703 * CHOOSE(CONTROL!$C$9, $C$13, 100%, $E$13) + CHOOSE(CONTROL!$C$28, 0.0003, 0)</f>
        <v>47.770600000000002</v>
      </c>
      <c r="C560" s="4">
        <f>47.4578 * CHOOSE(CONTROL!$C$9, $C$13, 100%, $E$13) + CHOOSE(CONTROL!$C$28, 0.0003, 0)</f>
        <v>47.458100000000002</v>
      </c>
      <c r="D560" s="4">
        <f>51.7763 * CHOOSE(CONTROL!$C$9, $C$13, 100%, $E$13) + CHOOSE(CONTROL!$C$28, 0, 0)</f>
        <v>51.776299999999999</v>
      </c>
      <c r="E560" s="4">
        <f>273.818139966709 * CHOOSE(CONTROL!$C$9, $C$13, 100%, $E$13) + CHOOSE(CONTROL!$C$28, 0, 0)</f>
        <v>273.818139966709</v>
      </c>
    </row>
    <row r="561" spans="1:5" ht="15">
      <c r="A561" s="13">
        <v>58957</v>
      </c>
      <c r="B561" s="4">
        <f>48.8693 * CHOOSE(CONTROL!$C$9, $C$13, 100%, $E$13) + CHOOSE(CONTROL!$C$28, 0.0294, 0)</f>
        <v>48.898700000000005</v>
      </c>
      <c r="C561" s="4">
        <f>48.5568 * CHOOSE(CONTROL!$C$9, $C$13, 100%, $E$13) + CHOOSE(CONTROL!$C$28, 0.0294, 0)</f>
        <v>48.586200000000005</v>
      </c>
      <c r="D561" s="4">
        <f>51.2172 * CHOOSE(CONTROL!$C$9, $C$13, 100%, $E$13) + CHOOSE(CONTROL!$C$28, 0, 0)</f>
        <v>51.217199999999998</v>
      </c>
      <c r="E561" s="4">
        <f>280.374805701357 * CHOOSE(CONTROL!$C$9, $C$13, 100%, $E$13) + CHOOSE(CONTROL!$C$28, 0, 0)</f>
        <v>280.37480570135699</v>
      </c>
    </row>
    <row r="562" spans="1:5" ht="15">
      <c r="A562" s="13">
        <v>58987</v>
      </c>
      <c r="B562" s="4">
        <f>49.018 * CHOOSE(CONTROL!$C$9, $C$13, 100%, $E$13) + CHOOSE(CONTROL!$C$28, 0.0294, 0)</f>
        <v>49.047400000000003</v>
      </c>
      <c r="C562" s="4">
        <f>48.7055 * CHOOSE(CONTROL!$C$9, $C$13, 100%, $E$13) + CHOOSE(CONTROL!$C$28, 0.0294, 0)</f>
        <v>48.734900000000003</v>
      </c>
      <c r="D562" s="4">
        <f>51.6725 * CHOOSE(CONTROL!$C$9, $C$13, 100%, $E$13) + CHOOSE(CONTROL!$C$28, 0, 0)</f>
        <v>51.672499999999999</v>
      </c>
      <c r="E562" s="4">
        <f>281.261949785976 * CHOOSE(CONTROL!$C$9, $C$13, 100%, $E$13) + CHOOSE(CONTROL!$C$28, 0, 0)</f>
        <v>281.26194978597601</v>
      </c>
    </row>
    <row r="563" spans="1:5" ht="15">
      <c r="A563" s="13">
        <v>59018</v>
      </c>
      <c r="B563" s="4">
        <f>49.003 * CHOOSE(CONTROL!$C$9, $C$13, 100%, $E$13) + CHOOSE(CONTROL!$C$28, 0.0294, 0)</f>
        <v>49.032400000000003</v>
      </c>
      <c r="C563" s="4">
        <f>48.6905 * CHOOSE(CONTROL!$C$9, $C$13, 100%, $E$13) + CHOOSE(CONTROL!$C$28, 0.0294, 0)</f>
        <v>48.719900000000003</v>
      </c>
      <c r="D563" s="4">
        <f>52.4941 * CHOOSE(CONTROL!$C$9, $C$13, 100%, $E$13) + CHOOSE(CONTROL!$C$28, 0, 0)</f>
        <v>52.494100000000003</v>
      </c>
      <c r="E563" s="4">
        <f>281.172489878283 * CHOOSE(CONTROL!$C$9, $C$13, 100%, $E$13) + CHOOSE(CONTROL!$C$28, 0, 0)</f>
        <v>281.17248987828299</v>
      </c>
    </row>
    <row r="564" spans="1:5" ht="15">
      <c r="A564" s="13">
        <v>59049</v>
      </c>
      <c r="B564" s="4">
        <f>50.1313 * CHOOSE(CONTROL!$C$9, $C$13, 100%, $E$13) + CHOOSE(CONTROL!$C$28, 0.0294, 0)</f>
        <v>50.160700000000006</v>
      </c>
      <c r="C564" s="4">
        <f>49.8188 * CHOOSE(CONTROL!$C$9, $C$13, 100%, $E$13) + CHOOSE(CONTROL!$C$28, 0.0294, 0)</f>
        <v>49.848200000000006</v>
      </c>
      <c r="D564" s="4">
        <f>51.9515 * CHOOSE(CONTROL!$C$9, $C$13, 100%, $E$13) + CHOOSE(CONTROL!$C$28, 0, 0)</f>
        <v>51.951500000000003</v>
      </c>
      <c r="E564" s="4">
        <f>287.904347932162 * CHOOSE(CONTROL!$C$9, $C$13, 100%, $E$13) + CHOOSE(CONTROL!$C$28, 0, 0)</f>
        <v>287.90434793216201</v>
      </c>
    </row>
    <row r="565" spans="1:5" ht="15">
      <c r="A565" s="13">
        <v>59079</v>
      </c>
      <c r="B565" s="4">
        <f>48.2083 * CHOOSE(CONTROL!$C$9, $C$13, 100%, $E$13) + CHOOSE(CONTROL!$C$28, 0.0294, 0)</f>
        <v>48.237700000000004</v>
      </c>
      <c r="C565" s="4">
        <f>47.8958 * CHOOSE(CONTROL!$C$9, $C$13, 100%, $E$13) + CHOOSE(CONTROL!$C$28, 0.0294, 0)</f>
        <v>47.925200000000004</v>
      </c>
      <c r="D565" s="4">
        <f>51.6952 * CHOOSE(CONTROL!$C$9, $C$13, 100%, $E$13) + CHOOSE(CONTROL!$C$28, 0, 0)</f>
        <v>51.6952</v>
      </c>
      <c r="E565" s="4">
        <f>276.431114770568 * CHOOSE(CONTROL!$C$9, $C$13, 100%, $E$13) + CHOOSE(CONTROL!$C$28, 0, 0)</f>
        <v>276.431114770568</v>
      </c>
    </row>
    <row r="566" spans="1:5" ht="15">
      <c r="A566" s="13">
        <v>59110</v>
      </c>
      <c r="B566" s="4">
        <f>46.6688 * CHOOSE(CONTROL!$C$9, $C$13, 100%, $E$13) + CHOOSE(CONTROL!$C$28, 0.0003, 0)</f>
        <v>46.6691</v>
      </c>
      <c r="C566" s="4">
        <f>46.3563 * CHOOSE(CONTROL!$C$9, $C$13, 100%, $E$13) + CHOOSE(CONTROL!$C$28, 0.0003, 0)</f>
        <v>46.3566</v>
      </c>
      <c r="D566" s="4">
        <f>51.0088 * CHOOSE(CONTROL!$C$9, $C$13, 100%, $E$13) + CHOOSE(CONTROL!$C$28, 0, 0)</f>
        <v>51.008800000000001</v>
      </c>
      <c r="E566" s="4">
        <f>267.246564247447 * CHOOSE(CONTROL!$C$9, $C$13, 100%, $E$13) + CHOOSE(CONTROL!$C$28, 0, 0)</f>
        <v>267.246564247447</v>
      </c>
    </row>
    <row r="567" spans="1:5" ht="15">
      <c r="A567" s="13">
        <v>59140</v>
      </c>
      <c r="B567" s="4">
        <f>45.6773 * CHOOSE(CONTROL!$C$9, $C$13, 100%, $E$13) + CHOOSE(CONTROL!$C$28, 0.0003, 0)</f>
        <v>45.677600000000005</v>
      </c>
      <c r="C567" s="4">
        <f>45.3648 * CHOOSE(CONTROL!$C$9, $C$13, 100%, $E$13) + CHOOSE(CONTROL!$C$28, 0.0003, 0)</f>
        <v>45.365100000000005</v>
      </c>
      <c r="D567" s="4">
        <f>50.7729 * CHOOSE(CONTROL!$C$9, $C$13, 100%, $E$13) + CHOOSE(CONTROL!$C$28, 0, 0)</f>
        <v>50.7729</v>
      </c>
      <c r="E567" s="4">
        <f>261.331027851264 * CHOOSE(CONTROL!$C$9, $C$13, 100%, $E$13) + CHOOSE(CONTROL!$C$28, 0, 0)</f>
        <v>261.33102785126403</v>
      </c>
    </row>
    <row r="568" spans="1:5" ht="15">
      <c r="A568" s="13">
        <v>59171</v>
      </c>
      <c r="B568" s="4">
        <f>44.9913 * CHOOSE(CONTROL!$C$9, $C$13, 100%, $E$13) + CHOOSE(CONTROL!$C$28, 0.0003, 0)</f>
        <v>44.991600000000005</v>
      </c>
      <c r="C568" s="4">
        <f>44.6788 * CHOOSE(CONTROL!$C$9, $C$13, 100%, $E$13) + CHOOSE(CONTROL!$C$28, 0.0003, 0)</f>
        <v>44.679100000000005</v>
      </c>
      <c r="D568" s="4">
        <f>49.0356 * CHOOSE(CONTROL!$C$9, $C$13, 100%, $E$13) + CHOOSE(CONTROL!$C$28, 0, 0)</f>
        <v>49.035600000000002</v>
      </c>
      <c r="E568" s="4">
        <f>257.238237074321 * CHOOSE(CONTROL!$C$9, $C$13, 100%, $E$13) + CHOOSE(CONTROL!$C$28, 0, 0)</f>
        <v>257.23823707432098</v>
      </c>
    </row>
    <row r="569" spans="1:5" ht="15">
      <c r="A569" s="13">
        <v>59202</v>
      </c>
      <c r="B569" s="4">
        <f>43.8767 * CHOOSE(CONTROL!$C$9, $C$13, 100%, $E$13) + CHOOSE(CONTROL!$C$28, 0.0003, 0)</f>
        <v>43.877000000000002</v>
      </c>
      <c r="C569" s="4">
        <f>43.5642 * CHOOSE(CONTROL!$C$9, $C$13, 100%, $E$13) + CHOOSE(CONTROL!$C$28, 0.0003, 0)</f>
        <v>43.564500000000002</v>
      </c>
      <c r="D569" s="4">
        <f>47.4389 * CHOOSE(CONTROL!$C$9, $C$13, 100%, $E$13) + CHOOSE(CONTROL!$C$28, 0, 0)</f>
        <v>47.438899999999997</v>
      </c>
      <c r="E569" s="4">
        <f>249.861624691968 * CHOOSE(CONTROL!$C$9, $C$13, 100%, $E$13) + CHOOSE(CONTROL!$C$28, 0, 0)</f>
        <v>249.86162469196799</v>
      </c>
    </row>
    <row r="570" spans="1:5" ht="15">
      <c r="A570" s="13">
        <v>59230</v>
      </c>
      <c r="B570" s="4">
        <f>44.874 * CHOOSE(CONTROL!$C$9, $C$13, 100%, $E$13) + CHOOSE(CONTROL!$C$28, 0.0003, 0)</f>
        <v>44.874300000000005</v>
      </c>
      <c r="C570" s="4">
        <f>44.5615 * CHOOSE(CONTROL!$C$9, $C$13, 100%, $E$13) + CHOOSE(CONTROL!$C$28, 0.0003, 0)</f>
        <v>44.561800000000005</v>
      </c>
      <c r="D570" s="4">
        <f>49.0468 * CHOOSE(CONTROL!$C$9, $C$13, 100%, $E$13) + CHOOSE(CONTROL!$C$28, 0, 0)</f>
        <v>49.046799999999998</v>
      </c>
      <c r="E570" s="4">
        <f>255.794324344191 * CHOOSE(CONTROL!$C$9, $C$13, 100%, $E$13) + CHOOSE(CONTROL!$C$28, 0, 0)</f>
        <v>255.79432434419101</v>
      </c>
    </row>
    <row r="571" spans="1:5" ht="15">
      <c r="A571" s="13">
        <v>59261</v>
      </c>
      <c r="B571" s="4">
        <f>47.4929 * CHOOSE(CONTROL!$C$9, $C$13, 100%, $E$13) + CHOOSE(CONTROL!$C$28, 0.0003, 0)</f>
        <v>47.493200000000002</v>
      </c>
      <c r="C571" s="4">
        <f>47.1804 * CHOOSE(CONTROL!$C$9, $C$13, 100%, $E$13) + CHOOSE(CONTROL!$C$28, 0.0003, 0)</f>
        <v>47.180700000000002</v>
      </c>
      <c r="D571" s="4">
        <f>51.5638 * CHOOSE(CONTROL!$C$9, $C$13, 100%, $E$13) + CHOOSE(CONTROL!$C$28, 0, 0)</f>
        <v>51.563800000000001</v>
      </c>
      <c r="E571" s="4">
        <f>271.373908913736 * CHOOSE(CONTROL!$C$9, $C$13, 100%, $E$13) + CHOOSE(CONTROL!$C$28, 0, 0)</f>
        <v>271.37390891373599</v>
      </c>
    </row>
    <row r="572" spans="1:5" ht="15">
      <c r="A572" s="13">
        <v>59291</v>
      </c>
      <c r="B572" s="4">
        <f>49.3537 * CHOOSE(CONTROL!$C$9, $C$13, 100%, $E$13) + CHOOSE(CONTROL!$C$28, 0.0003, 0)</f>
        <v>49.354000000000006</v>
      </c>
      <c r="C572" s="4">
        <f>49.0412 * CHOOSE(CONTROL!$C$9, $C$13, 100%, $E$13) + CHOOSE(CONTROL!$C$28, 0.0003, 0)</f>
        <v>49.041500000000006</v>
      </c>
      <c r="D572" s="4">
        <f>53.0136 * CHOOSE(CONTROL!$C$9, $C$13, 100%, $E$13) + CHOOSE(CONTROL!$C$28, 0, 0)</f>
        <v>53.013599999999997</v>
      </c>
      <c r="E572" s="4">
        <f>282.443411375661 * CHOOSE(CONTROL!$C$9, $C$13, 100%, $E$13) + CHOOSE(CONTROL!$C$28, 0, 0)</f>
        <v>282.44341137566101</v>
      </c>
    </row>
    <row r="573" spans="1:5" ht="15">
      <c r="A573" s="13">
        <v>59322</v>
      </c>
      <c r="B573" s="4">
        <f>50.4906 * CHOOSE(CONTROL!$C$9, $C$13, 100%, $E$13) + CHOOSE(CONTROL!$C$28, 0.0294, 0)</f>
        <v>50.52</v>
      </c>
      <c r="C573" s="4">
        <f>50.1781 * CHOOSE(CONTROL!$C$9, $C$13, 100%, $E$13) + CHOOSE(CONTROL!$C$28, 0.0294, 0)</f>
        <v>50.207500000000003</v>
      </c>
      <c r="D573" s="4">
        <f>52.4407 * CHOOSE(CONTROL!$C$9, $C$13, 100%, $E$13) + CHOOSE(CONTROL!$C$28, 0, 0)</f>
        <v>52.4407</v>
      </c>
      <c r="E573" s="4">
        <f>289.206612080949 * CHOOSE(CONTROL!$C$9, $C$13, 100%, $E$13) + CHOOSE(CONTROL!$C$28, 0, 0)</f>
        <v>289.20661208094901</v>
      </c>
    </row>
    <row r="574" spans="1:5" ht="15">
      <c r="A574" s="13">
        <v>59352</v>
      </c>
      <c r="B574" s="4">
        <f>50.6444 * CHOOSE(CONTROL!$C$9, $C$13, 100%, $E$13) + CHOOSE(CONTROL!$C$28, 0.0294, 0)</f>
        <v>50.6738</v>
      </c>
      <c r="C574" s="4">
        <f>50.3319 * CHOOSE(CONTROL!$C$9, $C$13, 100%, $E$13) + CHOOSE(CONTROL!$C$28, 0.0294, 0)</f>
        <v>50.3613</v>
      </c>
      <c r="D574" s="4">
        <f>52.9073 * CHOOSE(CONTROL!$C$9, $C$13, 100%, $E$13) + CHOOSE(CONTROL!$C$28, 0, 0)</f>
        <v>52.907299999999999</v>
      </c>
      <c r="E574" s="4">
        <f>290.121701204234 * CHOOSE(CONTROL!$C$9, $C$13, 100%, $E$13) + CHOOSE(CONTROL!$C$28, 0, 0)</f>
        <v>290.121701204234</v>
      </c>
    </row>
    <row r="575" spans="1:5" ht="15">
      <c r="A575" s="13">
        <v>59383</v>
      </c>
      <c r="B575" s="4">
        <f>50.6289 * CHOOSE(CONTROL!$C$9, $C$13, 100%, $E$13) + CHOOSE(CONTROL!$C$28, 0.0294, 0)</f>
        <v>50.658300000000004</v>
      </c>
      <c r="C575" s="4">
        <f>50.3164 * CHOOSE(CONTROL!$C$9, $C$13, 100%, $E$13) + CHOOSE(CONTROL!$C$28, 0.0294, 0)</f>
        <v>50.345800000000004</v>
      </c>
      <c r="D575" s="4">
        <f>53.7492 * CHOOSE(CONTROL!$C$9, $C$13, 100%, $E$13) + CHOOSE(CONTROL!$C$28, 0, 0)</f>
        <v>53.749200000000002</v>
      </c>
      <c r="E575" s="4">
        <f>290.029423309449 * CHOOSE(CONTROL!$C$9, $C$13, 100%, $E$13) + CHOOSE(CONTROL!$C$28, 0, 0)</f>
        <v>290.02942330944899</v>
      </c>
    </row>
    <row r="576" spans="1:5" ht="15">
      <c r="A576" s="13">
        <v>59414</v>
      </c>
      <c r="B576" s="4">
        <f>51.7962 * CHOOSE(CONTROL!$C$9, $C$13, 100%, $E$13) + CHOOSE(CONTROL!$C$28, 0.0294, 0)</f>
        <v>51.825600000000001</v>
      </c>
      <c r="C576" s="4">
        <f>51.4837 * CHOOSE(CONTROL!$C$9, $C$13, 100%, $E$13) + CHOOSE(CONTROL!$C$28, 0.0294, 0)</f>
        <v>51.513100000000001</v>
      </c>
      <c r="D576" s="4">
        <f>53.1932 * CHOOSE(CONTROL!$C$9, $C$13, 100%, $E$13) + CHOOSE(CONTROL!$C$28, 0, 0)</f>
        <v>53.193199999999997</v>
      </c>
      <c r="E576" s="4">
        <f>296.973334892025 * CHOOSE(CONTROL!$C$9, $C$13, 100%, $E$13) + CHOOSE(CONTROL!$C$28, 0, 0)</f>
        <v>296.97333489202498</v>
      </c>
    </row>
    <row r="577" spans="1:5" ht="15">
      <c r="A577" s="13">
        <v>59444</v>
      </c>
      <c r="B577" s="4">
        <f>49.8068 * CHOOSE(CONTROL!$C$9, $C$13, 100%, $E$13) + CHOOSE(CONTROL!$C$28, 0.0294, 0)</f>
        <v>49.836200000000005</v>
      </c>
      <c r="C577" s="4">
        <f>49.4943 * CHOOSE(CONTROL!$C$9, $C$13, 100%, $E$13) + CHOOSE(CONTROL!$C$28, 0.0294, 0)</f>
        <v>49.523700000000005</v>
      </c>
      <c r="D577" s="4">
        <f>52.9305 * CHOOSE(CONTROL!$C$9, $C$13, 100%, $E$13) + CHOOSE(CONTROL!$C$28, 0, 0)</f>
        <v>52.930500000000002</v>
      </c>
      <c r="E577" s="4">
        <f>285.138694885841 * CHOOSE(CONTROL!$C$9, $C$13, 100%, $E$13) + CHOOSE(CONTROL!$C$28, 0, 0)</f>
        <v>285.13869488584101</v>
      </c>
    </row>
    <row r="578" spans="1:5" ht="15">
      <c r="A578" s="13">
        <v>59475</v>
      </c>
      <c r="B578" s="4">
        <f>48.2142 * CHOOSE(CONTROL!$C$9, $C$13, 100%, $E$13) + CHOOSE(CONTROL!$C$28, 0.0003, 0)</f>
        <v>48.214500000000001</v>
      </c>
      <c r="C578" s="4">
        <f>47.9017 * CHOOSE(CONTROL!$C$9, $C$13, 100%, $E$13) + CHOOSE(CONTROL!$C$28, 0.0003, 0)</f>
        <v>47.902000000000001</v>
      </c>
      <c r="D578" s="4">
        <f>52.2272 * CHOOSE(CONTROL!$C$9, $C$13, 100%, $E$13) + CHOOSE(CONTROL!$C$28, 0, 0)</f>
        <v>52.227200000000003</v>
      </c>
      <c r="E578" s="4">
        <f>275.664831021241 * CHOOSE(CONTROL!$C$9, $C$13, 100%, $E$13) + CHOOSE(CONTROL!$C$28, 0, 0)</f>
        <v>275.66483102124101</v>
      </c>
    </row>
    <row r="579" spans="1:5" ht="15">
      <c r="A579" s="13">
        <v>59505</v>
      </c>
      <c r="B579" s="4">
        <f>47.1885 * CHOOSE(CONTROL!$C$9, $C$13, 100%, $E$13) + CHOOSE(CONTROL!$C$28, 0.0003, 0)</f>
        <v>47.188800000000001</v>
      </c>
      <c r="C579" s="4">
        <f>46.876 * CHOOSE(CONTROL!$C$9, $C$13, 100%, $E$13) + CHOOSE(CONTROL!$C$28, 0.0003, 0)</f>
        <v>46.876300000000001</v>
      </c>
      <c r="D579" s="4">
        <f>51.9853 * CHOOSE(CONTROL!$C$9, $C$13, 100%, $E$13) + CHOOSE(CONTROL!$C$28, 0, 0)</f>
        <v>51.985300000000002</v>
      </c>
      <c r="E579" s="4">
        <f>269.562955228579 * CHOOSE(CONTROL!$C$9, $C$13, 100%, $E$13) + CHOOSE(CONTROL!$C$28, 0, 0)</f>
        <v>269.56295522857903</v>
      </c>
    </row>
    <row r="580" spans="1:5" ht="15">
      <c r="A580" s="13">
        <v>59536</v>
      </c>
      <c r="B580" s="4">
        <f>46.4788 * CHOOSE(CONTROL!$C$9, $C$13, 100%, $E$13) + CHOOSE(CONTROL!$C$28, 0.0003, 0)</f>
        <v>46.479100000000003</v>
      </c>
      <c r="C580" s="4">
        <f>46.1663 * CHOOSE(CONTROL!$C$9, $C$13, 100%, $E$13) + CHOOSE(CONTROL!$C$28, 0.0003, 0)</f>
        <v>46.166600000000003</v>
      </c>
      <c r="D580" s="4">
        <f>50.205 * CHOOSE(CONTROL!$C$9, $C$13, 100%, $E$13) + CHOOSE(CONTROL!$C$28, 0, 0)</f>
        <v>50.204999999999998</v>
      </c>
      <c r="E580" s="4">
        <f>265.341241542163 * CHOOSE(CONTROL!$C$9, $C$13, 100%, $E$13) + CHOOSE(CONTROL!$C$28, 0, 0)</f>
        <v>265.341241542163</v>
      </c>
    </row>
    <row r="581" spans="1:5" ht="15">
      <c r="A581" s="13">
        <v>59567</v>
      </c>
      <c r="B581" s="4">
        <f>45.3258 * CHOOSE(CONTROL!$C$9, $C$13, 100%, $E$13) + CHOOSE(CONTROL!$C$28, 0.0003, 0)</f>
        <v>45.326100000000004</v>
      </c>
      <c r="C581" s="4">
        <f>45.0133 * CHOOSE(CONTROL!$C$9, $C$13, 100%, $E$13) + CHOOSE(CONTROL!$C$28, 0.0003, 0)</f>
        <v>45.013600000000004</v>
      </c>
      <c r="D581" s="4">
        <f>48.5687 * CHOOSE(CONTROL!$C$9, $C$13, 100%, $E$13) + CHOOSE(CONTROL!$C$28, 0, 0)</f>
        <v>48.5687</v>
      </c>
      <c r="E581" s="4">
        <f>257.732265869766 * CHOOSE(CONTROL!$C$9, $C$13, 100%, $E$13) + CHOOSE(CONTROL!$C$28, 0, 0)</f>
        <v>257.73226586976602</v>
      </c>
    </row>
    <row r="582" spans="1:5" ht="15">
      <c r="A582" s="13">
        <v>59595</v>
      </c>
      <c r="B582" s="4">
        <f>46.3575 * CHOOSE(CONTROL!$C$9, $C$13, 100%, $E$13) + CHOOSE(CONTROL!$C$28, 0.0003, 0)</f>
        <v>46.357800000000005</v>
      </c>
      <c r="C582" s="4">
        <f>46.045 * CHOOSE(CONTROL!$C$9, $C$13, 100%, $E$13) + CHOOSE(CONTROL!$C$28, 0.0003, 0)</f>
        <v>46.045300000000005</v>
      </c>
      <c r="D582" s="4">
        <f>50.2165 * CHOOSE(CONTROL!$C$9, $C$13, 100%, $E$13) + CHOOSE(CONTROL!$C$28, 0, 0)</f>
        <v>50.216500000000003</v>
      </c>
      <c r="E582" s="4">
        <f>263.851845561034 * CHOOSE(CONTROL!$C$9, $C$13, 100%, $E$13) + CHOOSE(CONTROL!$C$28, 0, 0)</f>
        <v>263.851845561034</v>
      </c>
    </row>
    <row r="583" spans="1:5" ht="15">
      <c r="A583" s="13">
        <v>59626</v>
      </c>
      <c r="B583" s="4">
        <f>49.0667 * CHOOSE(CONTROL!$C$9, $C$13, 100%, $E$13) + CHOOSE(CONTROL!$C$28, 0.0003, 0)</f>
        <v>49.067</v>
      </c>
      <c r="C583" s="4">
        <f>48.7542 * CHOOSE(CONTROL!$C$9, $C$13, 100%, $E$13) + CHOOSE(CONTROL!$C$28, 0.0003, 0)</f>
        <v>48.7545</v>
      </c>
      <c r="D583" s="4">
        <f>52.7959 * CHOOSE(CONTROL!$C$9, $C$13, 100%, $E$13) + CHOOSE(CONTROL!$C$28, 0, 0)</f>
        <v>52.795900000000003</v>
      </c>
      <c r="E583" s="4">
        <f>279.922187044519 * CHOOSE(CONTROL!$C$9, $C$13, 100%, $E$13) + CHOOSE(CONTROL!$C$28, 0, 0)</f>
        <v>279.92218704451898</v>
      </c>
    </row>
    <row r="584" spans="1:5" ht="15">
      <c r="A584" s="13">
        <v>59656</v>
      </c>
      <c r="B584" s="4">
        <f>50.9917 * CHOOSE(CONTROL!$C$9, $C$13, 100%, $E$13) + CHOOSE(CONTROL!$C$28, 0.0003, 0)</f>
        <v>50.992000000000004</v>
      </c>
      <c r="C584" s="4">
        <f>50.6792 * CHOOSE(CONTROL!$C$9, $C$13, 100%, $E$13) + CHOOSE(CONTROL!$C$28, 0.0003, 0)</f>
        <v>50.679500000000004</v>
      </c>
      <c r="D584" s="4">
        <f>54.2817 * CHOOSE(CONTROL!$C$9, $C$13, 100%, $E$13) + CHOOSE(CONTROL!$C$28, 0, 0)</f>
        <v>54.281700000000001</v>
      </c>
      <c r="E584" s="4">
        <f>291.340378833994 * CHOOSE(CONTROL!$C$9, $C$13, 100%, $E$13) + CHOOSE(CONTROL!$C$28, 0, 0)</f>
        <v>291.34037883399401</v>
      </c>
    </row>
    <row r="585" spans="1:5" ht="15">
      <c r="A585" s="13">
        <v>59687</v>
      </c>
      <c r="B585" s="4">
        <f>52.1678 * CHOOSE(CONTROL!$C$9, $C$13, 100%, $E$13) + CHOOSE(CONTROL!$C$28, 0.0294, 0)</f>
        <v>52.197200000000002</v>
      </c>
      <c r="C585" s="4">
        <f>51.8553 * CHOOSE(CONTROL!$C$9, $C$13, 100%, $E$13) + CHOOSE(CONTROL!$C$28, 0.0294, 0)</f>
        <v>51.884700000000002</v>
      </c>
      <c r="D585" s="4">
        <f>53.6946 * CHOOSE(CONTROL!$C$9, $C$13, 100%, $E$13) + CHOOSE(CONTROL!$C$28, 0, 0)</f>
        <v>53.694600000000001</v>
      </c>
      <c r="E585" s="4">
        <f>298.316620361499 * CHOOSE(CONTROL!$C$9, $C$13, 100%, $E$13) + CHOOSE(CONTROL!$C$28, 0, 0)</f>
        <v>298.31662036149902</v>
      </c>
    </row>
    <row r="586" spans="1:5" ht="15">
      <c r="A586" s="13">
        <v>59717</v>
      </c>
      <c r="B586" s="4">
        <f>52.327 * CHOOSE(CONTROL!$C$9, $C$13, 100%, $E$13) + CHOOSE(CONTROL!$C$28, 0.0294, 0)</f>
        <v>52.356400000000001</v>
      </c>
      <c r="C586" s="4">
        <f>52.0145 * CHOOSE(CONTROL!$C$9, $C$13, 100%, $E$13) + CHOOSE(CONTROL!$C$28, 0.0294, 0)</f>
        <v>52.043900000000001</v>
      </c>
      <c r="D586" s="4">
        <f>54.1727 * CHOOSE(CONTROL!$C$9, $C$13, 100%, $E$13) + CHOOSE(CONTROL!$C$28, 0, 0)</f>
        <v>54.172699999999999</v>
      </c>
      <c r="E586" s="4">
        <f>299.260534792168 * CHOOSE(CONTROL!$C$9, $C$13, 100%, $E$13) + CHOOSE(CONTROL!$C$28, 0, 0)</f>
        <v>299.26053479216802</v>
      </c>
    </row>
    <row r="587" spans="1:5" ht="15">
      <c r="A587" s="13">
        <v>59748</v>
      </c>
      <c r="B587" s="4">
        <f>52.3109 * CHOOSE(CONTROL!$C$9, $C$13, 100%, $E$13) + CHOOSE(CONTROL!$C$28, 0.0294, 0)</f>
        <v>52.340299999999999</v>
      </c>
      <c r="C587" s="4">
        <f>51.9984 * CHOOSE(CONTROL!$C$9, $C$13, 100%, $E$13) + CHOOSE(CONTROL!$C$28, 0.0294, 0)</f>
        <v>52.027799999999999</v>
      </c>
      <c r="D587" s="4">
        <f>55.0355 * CHOOSE(CONTROL!$C$9, $C$13, 100%, $E$13) + CHOOSE(CONTROL!$C$28, 0, 0)</f>
        <v>55.035499999999999</v>
      </c>
      <c r="E587" s="4">
        <f>299.165350143697 * CHOOSE(CONTROL!$C$9, $C$13, 100%, $E$13) + CHOOSE(CONTROL!$C$28, 0, 0)</f>
        <v>299.16535014369703</v>
      </c>
    </row>
    <row r="588" spans="1:5" ht="15">
      <c r="A588" s="13">
        <v>59779</v>
      </c>
      <c r="B588" s="4">
        <f>53.5185 * CHOOSE(CONTROL!$C$9, $C$13, 100%, $E$13) + CHOOSE(CONTROL!$C$28, 0.0294, 0)</f>
        <v>53.547900000000006</v>
      </c>
      <c r="C588" s="4">
        <f>53.206 * CHOOSE(CONTROL!$C$9, $C$13, 100%, $E$13) + CHOOSE(CONTROL!$C$28, 0.0294, 0)</f>
        <v>53.235400000000006</v>
      </c>
      <c r="D588" s="4">
        <f>54.4657 * CHOOSE(CONTROL!$C$9, $C$13, 100%, $E$13) + CHOOSE(CONTROL!$C$28, 0, 0)</f>
        <v>54.465699999999998</v>
      </c>
      <c r="E588" s="4">
        <f>306.327994941124 * CHOOSE(CONTROL!$C$9, $C$13, 100%, $E$13) + CHOOSE(CONTROL!$C$28, 0, 0)</f>
        <v>306.32799494112402</v>
      </c>
    </row>
    <row r="589" spans="1:5" ht="15">
      <c r="A589" s="13">
        <v>59809</v>
      </c>
      <c r="B589" s="4">
        <f>51.4604 * CHOOSE(CONTROL!$C$9, $C$13, 100%, $E$13) + CHOOSE(CONTROL!$C$28, 0.0294, 0)</f>
        <v>51.489800000000002</v>
      </c>
      <c r="C589" s="4">
        <f>51.1479 * CHOOSE(CONTROL!$C$9, $C$13, 100%, $E$13) + CHOOSE(CONTROL!$C$28, 0.0294, 0)</f>
        <v>51.177300000000002</v>
      </c>
      <c r="D589" s="4">
        <f>54.1965 * CHOOSE(CONTROL!$C$9, $C$13, 100%, $E$13) + CHOOSE(CONTROL!$C$28, 0, 0)</f>
        <v>54.1965</v>
      </c>
      <c r="E589" s="4">
        <f>294.120563774745 * CHOOSE(CONTROL!$C$9, $C$13, 100%, $E$13) + CHOOSE(CONTROL!$C$28, 0, 0)</f>
        <v>294.12056377474499</v>
      </c>
    </row>
    <row r="590" spans="1:5" ht="15">
      <c r="A590" s="13">
        <v>59840</v>
      </c>
      <c r="B590" s="4">
        <f>49.8129 * CHOOSE(CONTROL!$C$9, $C$13, 100%, $E$13) + CHOOSE(CONTROL!$C$28, 0.0003, 0)</f>
        <v>49.813200000000002</v>
      </c>
      <c r="C590" s="4">
        <f>49.5004 * CHOOSE(CONTROL!$C$9, $C$13, 100%, $E$13) + CHOOSE(CONTROL!$C$28, 0.0003, 0)</f>
        <v>49.500700000000002</v>
      </c>
      <c r="D590" s="4">
        <f>53.4757 * CHOOSE(CONTROL!$C$9, $C$13, 100%, $E$13) + CHOOSE(CONTROL!$C$28, 0, 0)</f>
        <v>53.475700000000003</v>
      </c>
      <c r="E590" s="4">
        <f>284.348273198411 * CHOOSE(CONTROL!$C$9, $C$13, 100%, $E$13) + CHOOSE(CONTROL!$C$28, 0, 0)</f>
        <v>284.34827319841099</v>
      </c>
    </row>
    <row r="591" spans="1:5" ht="15">
      <c r="A591" s="13">
        <v>59870</v>
      </c>
      <c r="B591" s="4">
        <f>48.7518 * CHOOSE(CONTROL!$C$9, $C$13, 100%, $E$13) + CHOOSE(CONTROL!$C$28, 0.0003, 0)</f>
        <v>48.752100000000006</v>
      </c>
      <c r="C591" s="4">
        <f>48.4393 * CHOOSE(CONTROL!$C$9, $C$13, 100%, $E$13) + CHOOSE(CONTROL!$C$28, 0.0003, 0)</f>
        <v>48.439600000000006</v>
      </c>
      <c r="D591" s="4">
        <f>53.2279 * CHOOSE(CONTROL!$C$9, $C$13, 100%, $E$13) + CHOOSE(CONTROL!$C$28, 0, 0)</f>
        <v>53.227899999999998</v>
      </c>
      <c r="E591" s="4">
        <f>278.054188318279 * CHOOSE(CONTROL!$C$9, $C$13, 100%, $E$13) + CHOOSE(CONTROL!$C$28, 0, 0)</f>
        <v>278.05418831827899</v>
      </c>
    </row>
    <row r="592" spans="1:5" ht="15">
      <c r="A592" s="13">
        <v>59901</v>
      </c>
      <c r="B592" s="4">
        <f>48.0177 * CHOOSE(CONTROL!$C$9, $C$13, 100%, $E$13) + CHOOSE(CONTROL!$C$28, 0.0003, 0)</f>
        <v>48.018000000000001</v>
      </c>
      <c r="C592" s="4">
        <f>47.7052 * CHOOSE(CONTROL!$C$9, $C$13, 100%, $E$13) + CHOOSE(CONTROL!$C$28, 0.0003, 0)</f>
        <v>47.705500000000001</v>
      </c>
      <c r="D592" s="4">
        <f>51.4034 * CHOOSE(CONTROL!$C$9, $C$13, 100%, $E$13) + CHOOSE(CONTROL!$C$28, 0, 0)</f>
        <v>51.403399999999998</v>
      </c>
      <c r="E592" s="4">
        <f>273.699490650741 * CHOOSE(CONTROL!$C$9, $C$13, 100%, $E$13) + CHOOSE(CONTROL!$C$28, 0, 0)</f>
        <v>273.69949065074098</v>
      </c>
    </row>
    <row r="593" spans="1:5" ht="15">
      <c r="A593" s="13">
        <v>59932</v>
      </c>
      <c r="B593" s="4">
        <f>46.8248 * CHOOSE(CONTROL!$C$9, $C$13, 100%, $E$13) + CHOOSE(CONTROL!$C$28, 0.0003, 0)</f>
        <v>46.825100000000006</v>
      </c>
      <c r="C593" s="4">
        <f>46.5123 * CHOOSE(CONTROL!$C$9, $C$13, 100%, $E$13) + CHOOSE(CONTROL!$C$28, 0.0003, 0)</f>
        <v>46.512600000000006</v>
      </c>
      <c r="D593" s="4">
        <f>49.7266 * CHOOSE(CONTROL!$C$9, $C$13, 100%, $E$13) + CHOOSE(CONTROL!$C$28, 0, 0)</f>
        <v>49.726599999999998</v>
      </c>
      <c r="E593" s="4">
        <f>265.850832244663 * CHOOSE(CONTROL!$C$9, $C$13, 100%, $E$13) + CHOOSE(CONTROL!$C$28, 0, 0)</f>
        <v>265.85083224466302</v>
      </c>
    </row>
    <row r="594" spans="1:5" ht="15">
      <c r="A594" s="13">
        <v>59961</v>
      </c>
      <c r="B594" s="4">
        <f>47.8921 * CHOOSE(CONTROL!$C$9, $C$13, 100%, $E$13) + CHOOSE(CONTROL!$C$28, 0.0003, 0)</f>
        <v>47.892400000000002</v>
      </c>
      <c r="C594" s="4">
        <f>47.5796 * CHOOSE(CONTROL!$C$9, $C$13, 100%, $E$13) + CHOOSE(CONTROL!$C$28, 0.0003, 0)</f>
        <v>47.579900000000002</v>
      </c>
      <c r="D594" s="4">
        <f>51.4152 * CHOOSE(CONTROL!$C$9, $C$13, 100%, $E$13) + CHOOSE(CONTROL!$C$28, 0, 0)</f>
        <v>51.415199999999999</v>
      </c>
      <c r="E594" s="4">
        <f>272.163178696206 * CHOOSE(CONTROL!$C$9, $C$13, 100%, $E$13) + CHOOSE(CONTROL!$C$28, 0, 0)</f>
        <v>272.16317869620599</v>
      </c>
    </row>
    <row r="595" spans="1:5" ht="15">
      <c r="A595" s="13">
        <v>59992</v>
      </c>
      <c r="B595" s="4">
        <f>50.6949 * CHOOSE(CONTROL!$C$9, $C$13, 100%, $E$13) + CHOOSE(CONTROL!$C$28, 0.0003, 0)</f>
        <v>50.6952</v>
      </c>
      <c r="C595" s="4">
        <f>50.3824 * CHOOSE(CONTROL!$C$9, $C$13, 100%, $E$13) + CHOOSE(CONTROL!$C$28, 0.0003, 0)</f>
        <v>50.3827</v>
      </c>
      <c r="D595" s="4">
        <f>54.0585 * CHOOSE(CONTROL!$C$9, $C$13, 100%, $E$13) + CHOOSE(CONTROL!$C$28, 0, 0)</f>
        <v>54.058500000000002</v>
      </c>
      <c r="E595" s="4">
        <f>288.739735936421 * CHOOSE(CONTROL!$C$9, $C$13, 100%, $E$13) + CHOOSE(CONTROL!$C$28, 0, 0)</f>
        <v>288.73973593642103</v>
      </c>
    </row>
    <row r="596" spans="1:5" ht="15">
      <c r="A596" s="13">
        <v>60022</v>
      </c>
      <c r="B596" s="4">
        <f>52.6863 * CHOOSE(CONTROL!$C$9, $C$13, 100%, $E$13) + CHOOSE(CONTROL!$C$28, 0.0003, 0)</f>
        <v>52.686600000000006</v>
      </c>
      <c r="C596" s="4">
        <f>52.3738 * CHOOSE(CONTROL!$C$9, $C$13, 100%, $E$13) + CHOOSE(CONTROL!$C$28, 0.0003, 0)</f>
        <v>52.374100000000006</v>
      </c>
      <c r="D596" s="4">
        <f>55.5812 * CHOOSE(CONTROL!$C$9, $C$13, 100%, $E$13) + CHOOSE(CONTROL!$C$28, 0, 0)</f>
        <v>55.581200000000003</v>
      </c>
      <c r="E596" s="4">
        <f>300.517600767265 * CHOOSE(CONTROL!$C$9, $C$13, 100%, $E$13) + CHOOSE(CONTROL!$C$28, 0, 0)</f>
        <v>300.51760076726498</v>
      </c>
    </row>
    <row r="597" spans="1:5" ht="15">
      <c r="A597" s="13">
        <v>60053</v>
      </c>
      <c r="B597" s="4">
        <f>53.9029 * CHOOSE(CONTROL!$C$9, $C$13, 100%, $E$13) + CHOOSE(CONTROL!$C$28, 0.0294, 0)</f>
        <v>53.932300000000005</v>
      </c>
      <c r="C597" s="4">
        <f>53.5904 * CHOOSE(CONTROL!$C$9, $C$13, 100%, $E$13) + CHOOSE(CONTROL!$C$28, 0.0294, 0)</f>
        <v>53.619800000000005</v>
      </c>
      <c r="D597" s="4">
        <f>54.9795 * CHOOSE(CONTROL!$C$9, $C$13, 100%, $E$13) + CHOOSE(CONTROL!$C$28, 0, 0)</f>
        <v>54.979500000000002</v>
      </c>
      <c r="E597" s="4">
        <f>307.713593902886 * CHOOSE(CONTROL!$C$9, $C$13, 100%, $E$13) + CHOOSE(CONTROL!$C$28, 0, 0)</f>
        <v>307.71359390288598</v>
      </c>
    </row>
    <row r="598" spans="1:5" ht="15">
      <c r="A598" s="13">
        <v>60083</v>
      </c>
      <c r="B598" s="4">
        <f>54.0676 * CHOOSE(CONTROL!$C$9, $C$13, 100%, $E$13) + CHOOSE(CONTROL!$C$28, 0.0294, 0)</f>
        <v>54.097000000000001</v>
      </c>
      <c r="C598" s="4">
        <f>53.7551 * CHOOSE(CONTROL!$C$9, $C$13, 100%, $E$13) + CHOOSE(CONTROL!$C$28, 0.0294, 0)</f>
        <v>53.784500000000001</v>
      </c>
      <c r="D598" s="4">
        <f>55.4695 * CHOOSE(CONTROL!$C$9, $C$13, 100%, $E$13) + CHOOSE(CONTROL!$C$28, 0, 0)</f>
        <v>55.469499999999996</v>
      </c>
      <c r="E598" s="4">
        <f>308.687241638121 * CHOOSE(CONTROL!$C$9, $C$13, 100%, $E$13) + CHOOSE(CONTROL!$C$28, 0, 0)</f>
        <v>308.68724163812101</v>
      </c>
    </row>
    <row r="599" spans="1:5" ht="15">
      <c r="A599" s="13">
        <v>60114</v>
      </c>
      <c r="B599" s="4">
        <f>54.051 * CHOOSE(CONTROL!$C$9, $C$13, 100%, $E$13) + CHOOSE(CONTROL!$C$28, 0.0294, 0)</f>
        <v>54.080400000000004</v>
      </c>
      <c r="C599" s="4">
        <f>53.7385 * CHOOSE(CONTROL!$C$9, $C$13, 100%, $E$13) + CHOOSE(CONTROL!$C$28, 0.0294, 0)</f>
        <v>53.767900000000004</v>
      </c>
      <c r="D599" s="4">
        <f>56.3537 * CHOOSE(CONTROL!$C$9, $C$13, 100%, $E$13) + CHOOSE(CONTROL!$C$28, 0, 0)</f>
        <v>56.353700000000003</v>
      </c>
      <c r="E599" s="4">
        <f>308.589058673224 * CHOOSE(CONTROL!$C$9, $C$13, 100%, $E$13) + CHOOSE(CONTROL!$C$28, 0, 0)</f>
        <v>308.58905867322397</v>
      </c>
    </row>
    <row r="600" spans="1:5" ht="15">
      <c r="A600" s="13">
        <v>60145</v>
      </c>
      <c r="B600" s="4">
        <f>55.3002 * CHOOSE(CONTROL!$C$9, $C$13, 100%, $E$13) + CHOOSE(CONTROL!$C$28, 0.0294, 0)</f>
        <v>55.329599999999999</v>
      </c>
      <c r="C600" s="4">
        <f>54.9877 * CHOOSE(CONTROL!$C$9, $C$13, 100%, $E$13) + CHOOSE(CONTROL!$C$28, 0.0294, 0)</f>
        <v>55.017099999999999</v>
      </c>
      <c r="D600" s="4">
        <f>55.7698 * CHOOSE(CONTROL!$C$9, $C$13, 100%, $E$13) + CHOOSE(CONTROL!$C$28, 0, 0)</f>
        <v>55.769799999999996</v>
      </c>
      <c r="E600" s="4">
        <f>315.97732678177 * CHOOSE(CONTROL!$C$9, $C$13, 100%, $E$13) + CHOOSE(CONTROL!$C$28, 0, 0)</f>
        <v>315.97732678176999</v>
      </c>
    </row>
    <row r="601" spans="1:5" ht="15">
      <c r="A601" s="13">
        <v>60175</v>
      </c>
      <c r="B601" s="4">
        <f>53.1711 * CHOOSE(CONTROL!$C$9, $C$13, 100%, $E$13) + CHOOSE(CONTROL!$C$28, 0.0294, 0)</f>
        <v>53.200500000000005</v>
      </c>
      <c r="C601" s="4">
        <f>52.8586 * CHOOSE(CONTROL!$C$9, $C$13, 100%, $E$13) + CHOOSE(CONTROL!$C$28, 0.0294, 0)</f>
        <v>52.888000000000005</v>
      </c>
      <c r="D601" s="4">
        <f>55.4939 * CHOOSE(CONTROL!$C$9, $C$13, 100%, $E$13) + CHOOSE(CONTROL!$C$28, 0, 0)</f>
        <v>55.493899999999996</v>
      </c>
      <c r="E601" s="4">
        <f>303.38536153365 * CHOOSE(CONTROL!$C$9, $C$13, 100%, $E$13) + CHOOSE(CONTROL!$C$28, 0, 0)</f>
        <v>303.38536153364998</v>
      </c>
    </row>
    <row r="602" spans="1:5" ht="15">
      <c r="A602" s="13">
        <v>60206</v>
      </c>
      <c r="B602" s="4">
        <f>51.4668 * CHOOSE(CONTROL!$C$9, $C$13, 100%, $E$13) + CHOOSE(CONTROL!$C$28, 0.0003, 0)</f>
        <v>51.467100000000002</v>
      </c>
      <c r="C602" s="4">
        <f>51.1543 * CHOOSE(CONTROL!$C$9, $C$13, 100%, $E$13) + CHOOSE(CONTROL!$C$28, 0.0003, 0)</f>
        <v>51.154600000000002</v>
      </c>
      <c r="D602" s="4">
        <f>54.7552 * CHOOSE(CONTROL!$C$9, $C$13, 100%, $E$13) + CHOOSE(CONTROL!$C$28, 0, 0)</f>
        <v>54.755200000000002</v>
      </c>
      <c r="E602" s="4">
        <f>293.305243804161 * CHOOSE(CONTROL!$C$9, $C$13, 100%, $E$13) + CHOOSE(CONTROL!$C$28, 0, 0)</f>
        <v>293.30524380416102</v>
      </c>
    </row>
    <row r="603" spans="1:5" ht="15">
      <c r="A603" s="13">
        <v>60236</v>
      </c>
      <c r="B603" s="4">
        <f>50.3691 * CHOOSE(CONTROL!$C$9, $C$13, 100%, $E$13) + CHOOSE(CONTROL!$C$28, 0.0003, 0)</f>
        <v>50.369400000000006</v>
      </c>
      <c r="C603" s="4">
        <f>50.0566 * CHOOSE(CONTROL!$C$9, $C$13, 100%, $E$13) + CHOOSE(CONTROL!$C$28, 0.0003, 0)</f>
        <v>50.056900000000006</v>
      </c>
      <c r="D603" s="4">
        <f>54.5012 * CHOOSE(CONTROL!$C$9, $C$13, 100%, $E$13) + CHOOSE(CONTROL!$C$28, 0, 0)</f>
        <v>54.501199999999997</v>
      </c>
      <c r="E603" s="4">
        <f>286.812895250305 * CHOOSE(CONTROL!$C$9, $C$13, 100%, $E$13) + CHOOSE(CONTROL!$C$28, 0, 0)</f>
        <v>286.81289525030502</v>
      </c>
    </row>
    <row r="604" spans="1:5" ht="15">
      <c r="A604" s="13">
        <v>60267</v>
      </c>
      <c r="B604" s="4">
        <f>49.6096 * CHOOSE(CONTROL!$C$9, $C$13, 100%, $E$13) + CHOOSE(CONTROL!$C$28, 0.0003, 0)</f>
        <v>49.609900000000003</v>
      </c>
      <c r="C604" s="4">
        <f>49.2971 * CHOOSE(CONTROL!$C$9, $C$13, 100%, $E$13) + CHOOSE(CONTROL!$C$28, 0.0003, 0)</f>
        <v>49.297400000000003</v>
      </c>
      <c r="D604" s="4">
        <f>52.6315 * CHOOSE(CONTROL!$C$9, $C$13, 100%, $E$13) + CHOOSE(CONTROL!$C$28, 0, 0)</f>
        <v>52.631500000000003</v>
      </c>
      <c r="E604" s="4">
        <f>282.321024606239 * CHOOSE(CONTROL!$C$9, $C$13, 100%, $E$13) + CHOOSE(CONTROL!$C$28, 0, 0)</f>
        <v>282.32102460623901</v>
      </c>
    </row>
    <row r="605" spans="1:5" ht="15">
      <c r="A605" s="13">
        <v>60298</v>
      </c>
      <c r="B605" s="4">
        <f>48.3756 * CHOOSE(CONTROL!$C$9, $C$13, 100%, $E$13) + CHOOSE(CONTROL!$C$28, 0.0003, 0)</f>
        <v>48.375900000000001</v>
      </c>
      <c r="C605" s="4">
        <f>48.0631 * CHOOSE(CONTROL!$C$9, $C$13, 100%, $E$13) + CHOOSE(CONTROL!$C$28, 0.0003, 0)</f>
        <v>48.063400000000001</v>
      </c>
      <c r="D605" s="4">
        <f>50.9131 * CHOOSE(CONTROL!$C$9, $C$13, 100%, $E$13) + CHOOSE(CONTROL!$C$28, 0, 0)</f>
        <v>50.9131</v>
      </c>
      <c r="E605" s="4">
        <f>274.22513346037 * CHOOSE(CONTROL!$C$9, $C$13, 100%, $E$13) + CHOOSE(CONTROL!$C$28, 0, 0)</f>
        <v>274.22513346036999</v>
      </c>
    </row>
    <row r="606" spans="1:5" ht="15">
      <c r="A606" s="13">
        <v>60326</v>
      </c>
      <c r="B606" s="4">
        <f>49.4797 * CHOOSE(CONTROL!$C$9, $C$13, 100%, $E$13) + CHOOSE(CONTROL!$C$28, 0.0003, 0)</f>
        <v>49.480000000000004</v>
      </c>
      <c r="C606" s="4">
        <f>49.1672 * CHOOSE(CONTROL!$C$9, $C$13, 100%, $E$13) + CHOOSE(CONTROL!$C$28, 0.0003, 0)</f>
        <v>49.167500000000004</v>
      </c>
      <c r="D606" s="4">
        <f>52.6436 * CHOOSE(CONTROL!$C$9, $C$13, 100%, $E$13) + CHOOSE(CONTROL!$C$28, 0, 0)</f>
        <v>52.643599999999999</v>
      </c>
      <c r="E606" s="4">
        <f>280.736318825137 * CHOOSE(CONTROL!$C$9, $C$13, 100%, $E$13) + CHOOSE(CONTROL!$C$28, 0, 0)</f>
        <v>280.736318825137</v>
      </c>
    </row>
    <row r="607" spans="1:5" ht="15">
      <c r="A607" s="13">
        <v>60357</v>
      </c>
      <c r="B607" s="4">
        <f>52.3791 * CHOOSE(CONTROL!$C$9, $C$13, 100%, $E$13) + CHOOSE(CONTROL!$C$28, 0.0003, 0)</f>
        <v>52.379400000000004</v>
      </c>
      <c r="C607" s="4">
        <f>52.0666 * CHOOSE(CONTROL!$C$9, $C$13, 100%, $E$13) + CHOOSE(CONTROL!$C$28, 0.0003, 0)</f>
        <v>52.066900000000004</v>
      </c>
      <c r="D607" s="4">
        <f>55.3525 * CHOOSE(CONTROL!$C$9, $C$13, 100%, $E$13) + CHOOSE(CONTROL!$C$28, 0, 0)</f>
        <v>55.352499999999999</v>
      </c>
      <c r="E607" s="4">
        <f>297.835037618418 * CHOOSE(CONTROL!$C$9, $C$13, 100%, $E$13) + CHOOSE(CONTROL!$C$28, 0, 0)</f>
        <v>297.83503761841803</v>
      </c>
    </row>
    <row r="608" spans="1:5" ht="15">
      <c r="A608" s="13">
        <v>60387</v>
      </c>
      <c r="B608" s="4">
        <f>54.4392 * CHOOSE(CONTROL!$C$9, $C$13, 100%, $E$13) + CHOOSE(CONTROL!$C$28, 0.0003, 0)</f>
        <v>54.439500000000002</v>
      </c>
      <c r="C608" s="4">
        <f>54.1267 * CHOOSE(CONTROL!$C$9, $C$13, 100%, $E$13) + CHOOSE(CONTROL!$C$28, 0.0003, 0)</f>
        <v>54.127000000000002</v>
      </c>
      <c r="D608" s="4">
        <f>56.9129 * CHOOSE(CONTROL!$C$9, $C$13, 100%, $E$13) + CHOOSE(CONTROL!$C$28, 0, 0)</f>
        <v>56.9129</v>
      </c>
      <c r="E608" s="4">
        <f>309.983905191434 * CHOOSE(CONTROL!$C$9, $C$13, 100%, $E$13) + CHOOSE(CONTROL!$C$28, 0, 0)</f>
        <v>309.98390519143402</v>
      </c>
    </row>
    <row r="609" spans="1:5" ht="15">
      <c r="A609" s="13">
        <v>60418</v>
      </c>
      <c r="B609" s="4">
        <f>55.6979 * CHOOSE(CONTROL!$C$9, $C$13, 100%, $E$13) + CHOOSE(CONTROL!$C$28, 0.0294, 0)</f>
        <v>55.7273</v>
      </c>
      <c r="C609" s="4">
        <f>55.3854 * CHOOSE(CONTROL!$C$9, $C$13, 100%, $E$13) + CHOOSE(CONTROL!$C$28, 0.0294, 0)</f>
        <v>55.4148</v>
      </c>
      <c r="D609" s="4">
        <f>56.2963 * CHOOSE(CONTROL!$C$9, $C$13, 100%, $E$13) + CHOOSE(CONTROL!$C$28, 0, 0)</f>
        <v>56.296300000000002</v>
      </c>
      <c r="E609" s="4">
        <f>317.406572110827 * CHOOSE(CONTROL!$C$9, $C$13, 100%, $E$13) + CHOOSE(CONTROL!$C$28, 0, 0)</f>
        <v>317.40657211082703</v>
      </c>
    </row>
    <row r="610" spans="1:5" ht="15">
      <c r="A610" s="13">
        <v>60448</v>
      </c>
      <c r="B610" s="4">
        <f>55.8682 * CHOOSE(CONTROL!$C$9, $C$13, 100%, $E$13) + CHOOSE(CONTROL!$C$28, 0.0294, 0)</f>
        <v>55.897600000000004</v>
      </c>
      <c r="C610" s="4">
        <f>55.5557 * CHOOSE(CONTROL!$C$9, $C$13, 100%, $E$13) + CHOOSE(CONTROL!$C$28, 0.0294, 0)</f>
        <v>55.585100000000004</v>
      </c>
      <c r="D610" s="4">
        <f>56.7985 * CHOOSE(CONTROL!$C$9, $C$13, 100%, $E$13) + CHOOSE(CONTROL!$C$28, 0, 0)</f>
        <v>56.798499999999997</v>
      </c>
      <c r="E610" s="4">
        <f>318.410889749722 * CHOOSE(CONTROL!$C$9, $C$13, 100%, $E$13) + CHOOSE(CONTROL!$C$28, 0, 0)</f>
        <v>318.410889749722</v>
      </c>
    </row>
    <row r="611" spans="1:5" ht="15">
      <c r="A611" s="13">
        <v>60479</v>
      </c>
      <c r="B611" s="4">
        <f>55.851 * CHOOSE(CONTROL!$C$9, $C$13, 100%, $E$13) + CHOOSE(CONTROL!$C$28, 0.0294, 0)</f>
        <v>55.880400000000002</v>
      </c>
      <c r="C611" s="4">
        <f>55.5385 * CHOOSE(CONTROL!$C$9, $C$13, 100%, $E$13) + CHOOSE(CONTROL!$C$28, 0.0294, 0)</f>
        <v>55.567900000000002</v>
      </c>
      <c r="D611" s="4">
        <f>57.7046 * CHOOSE(CONTROL!$C$9, $C$13, 100%, $E$13) + CHOOSE(CONTROL!$C$28, 0, 0)</f>
        <v>57.704599999999999</v>
      </c>
      <c r="E611" s="4">
        <f>318.30961402143 * CHOOSE(CONTROL!$C$9, $C$13, 100%, $E$13) + CHOOSE(CONTROL!$C$28, 0, 0)</f>
        <v>318.30961402142998</v>
      </c>
    </row>
    <row r="612" spans="1:5" ht="15">
      <c r="A612" s="13">
        <v>60510</v>
      </c>
      <c r="B612" s="4">
        <f>57.1433 * CHOOSE(CONTROL!$C$9, $C$13, 100%, $E$13) + CHOOSE(CONTROL!$C$28, 0.0294, 0)</f>
        <v>57.172700000000006</v>
      </c>
      <c r="C612" s="4">
        <f>56.8308 * CHOOSE(CONTROL!$C$9, $C$13, 100%, $E$13) + CHOOSE(CONTROL!$C$28, 0.0294, 0)</f>
        <v>56.860200000000006</v>
      </c>
      <c r="D612" s="4">
        <f>57.1062 * CHOOSE(CONTROL!$C$9, $C$13, 100%, $E$13) + CHOOSE(CONTROL!$C$28, 0, 0)</f>
        <v>57.106200000000001</v>
      </c>
      <c r="E612" s="4">
        <f>325.930612575395 * CHOOSE(CONTROL!$C$9, $C$13, 100%, $E$13) + CHOOSE(CONTROL!$C$28, 0, 0)</f>
        <v>325.930612575395</v>
      </c>
    </row>
    <row r="613" spans="1:5" ht="15">
      <c r="A613" s="13">
        <v>60540</v>
      </c>
      <c r="B613" s="4">
        <f>54.9408 * CHOOSE(CONTROL!$C$9, $C$13, 100%, $E$13) + CHOOSE(CONTROL!$C$28, 0.0294, 0)</f>
        <v>54.970200000000006</v>
      </c>
      <c r="C613" s="4">
        <f>54.6283 * CHOOSE(CONTROL!$C$9, $C$13, 100%, $E$13) + CHOOSE(CONTROL!$C$28, 0.0294, 0)</f>
        <v>54.657700000000006</v>
      </c>
      <c r="D613" s="4">
        <f>56.8235 * CHOOSE(CONTROL!$C$9, $C$13, 100%, $E$13) + CHOOSE(CONTROL!$C$28, 0, 0)</f>
        <v>56.823500000000003</v>
      </c>
      <c r="E613" s="4">
        <f>312.94200042196 * CHOOSE(CONTROL!$C$9, $C$13, 100%, $E$13) + CHOOSE(CONTROL!$C$28, 0, 0)</f>
        <v>312.94200042196002</v>
      </c>
    </row>
    <row r="614" spans="1:5" ht="15">
      <c r="A614" s="13">
        <v>60571</v>
      </c>
      <c r="B614" s="4">
        <f>53.1777 * CHOOSE(CONTROL!$C$9, $C$13, 100%, $E$13) + CHOOSE(CONTROL!$C$28, 0.0003, 0)</f>
        <v>53.178000000000004</v>
      </c>
      <c r="C614" s="4">
        <f>52.8652 * CHOOSE(CONTROL!$C$9, $C$13, 100%, $E$13) + CHOOSE(CONTROL!$C$28, 0.0003, 0)</f>
        <v>52.865500000000004</v>
      </c>
      <c r="D614" s="4">
        <f>56.0664 * CHOOSE(CONTROL!$C$9, $C$13, 100%, $E$13) + CHOOSE(CONTROL!$C$28, 0, 0)</f>
        <v>56.066400000000002</v>
      </c>
      <c r="E614" s="4">
        <f>302.544358983992 * CHOOSE(CONTROL!$C$9, $C$13, 100%, $E$13) + CHOOSE(CONTROL!$C$28, 0, 0)</f>
        <v>302.54435898399203</v>
      </c>
    </row>
    <row r="615" spans="1:5" ht="15">
      <c r="A615" s="13">
        <v>60601</v>
      </c>
      <c r="B615" s="4">
        <f>52.0421 * CHOOSE(CONTROL!$C$9, $C$13, 100%, $E$13) + CHOOSE(CONTROL!$C$28, 0.0003, 0)</f>
        <v>52.042400000000001</v>
      </c>
      <c r="C615" s="4">
        <f>51.7296 * CHOOSE(CONTROL!$C$9, $C$13, 100%, $E$13) + CHOOSE(CONTROL!$C$28, 0.0003, 0)</f>
        <v>51.729900000000001</v>
      </c>
      <c r="D615" s="4">
        <f>55.8062 * CHOOSE(CONTROL!$C$9, $C$13, 100%, $E$13) + CHOOSE(CONTROL!$C$28, 0, 0)</f>
        <v>55.806199999999997</v>
      </c>
      <c r="E615" s="4">
        <f>295.84750145069 * CHOOSE(CONTROL!$C$9, $C$13, 100%, $E$13) + CHOOSE(CONTROL!$C$28, 0, 0)</f>
        <v>295.84750145069</v>
      </c>
    </row>
    <row r="616" spans="1:5" ht="15">
      <c r="A616" s="13">
        <v>60632</v>
      </c>
      <c r="B616" s="4">
        <f>51.2564 * CHOOSE(CONTROL!$C$9, $C$13, 100%, $E$13) + CHOOSE(CONTROL!$C$28, 0.0003, 0)</f>
        <v>51.256700000000002</v>
      </c>
      <c r="C616" s="4">
        <f>50.9439 * CHOOSE(CONTROL!$C$9, $C$13, 100%, $E$13) + CHOOSE(CONTROL!$C$28, 0.0003, 0)</f>
        <v>50.944200000000002</v>
      </c>
      <c r="D616" s="4">
        <f>53.8901 * CHOOSE(CONTROL!$C$9, $C$13, 100%, $E$13) + CHOOSE(CONTROL!$C$28, 0, 0)</f>
        <v>53.890099999999997</v>
      </c>
      <c r="E616" s="4">
        <f>291.214136881336 * CHOOSE(CONTROL!$C$9, $C$13, 100%, $E$13) + CHOOSE(CONTROL!$C$28, 0, 0)</f>
        <v>291.214136881336</v>
      </c>
    </row>
    <row r="617" spans="1:5" ht="15">
      <c r="A617" s="13">
        <v>60663</v>
      </c>
      <c r="B617" s="4">
        <f>49.9799 * CHOOSE(CONTROL!$C$9, $C$13, 100%, $E$13) + CHOOSE(CONTROL!$C$28, 0.0003, 0)</f>
        <v>49.980200000000004</v>
      </c>
      <c r="C617" s="4">
        <f>49.6674 * CHOOSE(CONTROL!$C$9, $C$13, 100%, $E$13) + CHOOSE(CONTROL!$C$28, 0.0003, 0)</f>
        <v>49.667700000000004</v>
      </c>
      <c r="D617" s="4">
        <f>52.129 * CHOOSE(CONTROL!$C$9, $C$13, 100%, $E$13) + CHOOSE(CONTROL!$C$28, 0, 0)</f>
        <v>52.128999999999998</v>
      </c>
      <c r="E617" s="4">
        <f>282.863225164372 * CHOOSE(CONTROL!$C$9, $C$13, 100%, $E$13) + CHOOSE(CONTROL!$C$28, 0, 0)</f>
        <v>282.86322516437201</v>
      </c>
    </row>
    <row r="618" spans="1:5" ht="15">
      <c r="A618" s="13">
        <v>60691</v>
      </c>
      <c r="B618" s="4">
        <f>51.1221 * CHOOSE(CONTROL!$C$9, $C$13, 100%, $E$13) + CHOOSE(CONTROL!$C$28, 0.0003, 0)</f>
        <v>51.122400000000006</v>
      </c>
      <c r="C618" s="4">
        <f>50.8096 * CHOOSE(CONTROL!$C$9, $C$13, 100%, $E$13) + CHOOSE(CONTROL!$C$28, 0.0003, 0)</f>
        <v>50.809900000000006</v>
      </c>
      <c r="D618" s="4">
        <f>53.9024 * CHOOSE(CONTROL!$C$9, $C$13, 100%, $E$13) + CHOOSE(CONTROL!$C$28, 0, 0)</f>
        <v>53.9024</v>
      </c>
      <c r="E618" s="4">
        <f>289.579512868128 * CHOOSE(CONTROL!$C$9, $C$13, 100%, $E$13) + CHOOSE(CONTROL!$C$28, 0, 0)</f>
        <v>289.57951286812801</v>
      </c>
    </row>
    <row r="619" spans="1:5" ht="15">
      <c r="A619" s="13">
        <v>60722</v>
      </c>
      <c r="B619" s="4">
        <f>54.1215 * CHOOSE(CONTROL!$C$9, $C$13, 100%, $E$13) + CHOOSE(CONTROL!$C$28, 0.0003, 0)</f>
        <v>54.1218</v>
      </c>
      <c r="C619" s="4">
        <f>53.809 * CHOOSE(CONTROL!$C$9, $C$13, 100%, $E$13) + CHOOSE(CONTROL!$C$28, 0.0003, 0)</f>
        <v>53.8093</v>
      </c>
      <c r="D619" s="4">
        <f>56.6785 * CHOOSE(CONTROL!$C$9, $C$13, 100%, $E$13) + CHOOSE(CONTROL!$C$28, 0, 0)</f>
        <v>56.6785</v>
      </c>
      <c r="E619" s="4">
        <f>307.216841303399 * CHOOSE(CONTROL!$C$9, $C$13, 100%, $E$13) + CHOOSE(CONTROL!$C$28, 0, 0)</f>
        <v>307.21684130339901</v>
      </c>
    </row>
    <row r="620" spans="1:5" ht="15">
      <c r="A620" s="13">
        <v>60752</v>
      </c>
      <c r="B620" s="4">
        <f>56.2527 * CHOOSE(CONTROL!$C$9, $C$13, 100%, $E$13) + CHOOSE(CONTROL!$C$28, 0.0003, 0)</f>
        <v>56.253</v>
      </c>
      <c r="C620" s="4">
        <f>55.9402 * CHOOSE(CONTROL!$C$9, $C$13, 100%, $E$13) + CHOOSE(CONTROL!$C$28, 0.0003, 0)</f>
        <v>55.9405</v>
      </c>
      <c r="D620" s="4">
        <f>58.2777 * CHOOSE(CONTROL!$C$9, $C$13, 100%, $E$13) + CHOOSE(CONTROL!$C$28, 0, 0)</f>
        <v>58.277700000000003</v>
      </c>
      <c r="E620" s="4">
        <f>319.748398204964 * CHOOSE(CONTROL!$C$9, $C$13, 100%, $E$13) + CHOOSE(CONTROL!$C$28, 0, 0)</f>
        <v>319.74839820496402</v>
      </c>
    </row>
    <row r="621" spans="1:5" ht="15">
      <c r="A621" s="13">
        <v>60783</v>
      </c>
      <c r="B621" s="4">
        <f>57.5548 * CHOOSE(CONTROL!$C$9, $C$13, 100%, $E$13) + CHOOSE(CONTROL!$C$28, 0.0294, 0)</f>
        <v>57.584200000000003</v>
      </c>
      <c r="C621" s="4">
        <f>57.2423 * CHOOSE(CONTROL!$C$9, $C$13, 100%, $E$13) + CHOOSE(CONTROL!$C$28, 0.0294, 0)</f>
        <v>57.271700000000003</v>
      </c>
      <c r="D621" s="4">
        <f>57.6458 * CHOOSE(CONTROL!$C$9, $C$13, 100%, $E$13) + CHOOSE(CONTROL!$C$28, 0, 0)</f>
        <v>57.645800000000001</v>
      </c>
      <c r="E621" s="4">
        <f>327.404879132319 * CHOOSE(CONTROL!$C$9, $C$13, 100%, $E$13) + CHOOSE(CONTROL!$C$28, 0, 0)</f>
        <v>327.40487913231902</v>
      </c>
    </row>
    <row r="622" spans="1:5" ht="15">
      <c r="A622" s="13">
        <v>60813</v>
      </c>
      <c r="B622" s="4">
        <f>57.731 * CHOOSE(CONTROL!$C$9, $C$13, 100%, $E$13) + CHOOSE(CONTROL!$C$28, 0.0294, 0)</f>
        <v>57.760400000000004</v>
      </c>
      <c r="C622" s="4">
        <f>57.4185 * CHOOSE(CONTROL!$C$9, $C$13, 100%, $E$13) + CHOOSE(CONTROL!$C$28, 0.0294, 0)</f>
        <v>57.447900000000004</v>
      </c>
      <c r="D622" s="4">
        <f>58.1604 * CHOOSE(CONTROL!$C$9, $C$13, 100%, $E$13) + CHOOSE(CONTROL!$C$28, 0, 0)</f>
        <v>58.160400000000003</v>
      </c>
      <c r="E622" s="4">
        <f>328.440832776838 * CHOOSE(CONTROL!$C$9, $C$13, 100%, $E$13) + CHOOSE(CONTROL!$C$28, 0, 0)</f>
        <v>328.44083277683802</v>
      </c>
    </row>
    <row r="623" spans="1:5" ht="15">
      <c r="A623" s="13">
        <v>60844</v>
      </c>
      <c r="B623" s="4">
        <f>57.7132 * CHOOSE(CONTROL!$C$9, $C$13, 100%, $E$13) + CHOOSE(CONTROL!$C$28, 0.0294, 0)</f>
        <v>57.742600000000003</v>
      </c>
      <c r="C623" s="4">
        <f>57.4007 * CHOOSE(CONTROL!$C$9, $C$13, 100%, $E$13) + CHOOSE(CONTROL!$C$28, 0.0294, 0)</f>
        <v>57.430100000000003</v>
      </c>
      <c r="D623" s="4">
        <f>59.089 * CHOOSE(CONTROL!$C$9, $C$13, 100%, $E$13) + CHOOSE(CONTROL!$C$28, 0, 0)</f>
        <v>59.088999999999999</v>
      </c>
      <c r="E623" s="4">
        <f>328.336366863105 * CHOOSE(CONTROL!$C$9, $C$13, 100%, $E$13) + CHOOSE(CONTROL!$C$28, 0, 0)</f>
        <v>328.33636686310501</v>
      </c>
    </row>
    <row r="624" spans="1:5" ht="15">
      <c r="A624" s="13">
        <v>60875</v>
      </c>
      <c r="B624" s="4">
        <f>59.0501 * CHOOSE(CONTROL!$C$9, $C$13, 100%, $E$13) + CHOOSE(CONTROL!$C$28, 0.0294, 0)</f>
        <v>59.079500000000003</v>
      </c>
      <c r="C624" s="4">
        <f>58.7376 * CHOOSE(CONTROL!$C$9, $C$13, 100%, $E$13) + CHOOSE(CONTROL!$C$28, 0.0294, 0)</f>
        <v>58.767000000000003</v>
      </c>
      <c r="D624" s="4">
        <f>58.4757 * CHOOSE(CONTROL!$C$9, $C$13, 100%, $E$13) + CHOOSE(CONTROL!$C$28, 0, 0)</f>
        <v>58.475700000000003</v>
      </c>
      <c r="E624" s="4">
        <f>336.19742687152 * CHOOSE(CONTROL!$C$9, $C$13, 100%, $E$13) + CHOOSE(CONTROL!$C$28, 0, 0)</f>
        <v>336.19742687152001</v>
      </c>
    </row>
    <row r="625" spans="1:5" ht="15">
      <c r="A625" s="13">
        <v>60905</v>
      </c>
      <c r="B625" s="4">
        <f>56.7716 * CHOOSE(CONTROL!$C$9, $C$13, 100%, $E$13) + CHOOSE(CONTROL!$C$28, 0.0294, 0)</f>
        <v>56.801000000000002</v>
      </c>
      <c r="C625" s="4">
        <f>56.4591 * CHOOSE(CONTROL!$C$9, $C$13, 100%, $E$13) + CHOOSE(CONTROL!$C$28, 0.0294, 0)</f>
        <v>56.488500000000002</v>
      </c>
      <c r="D625" s="4">
        <f>58.186 * CHOOSE(CONTROL!$C$9, $C$13, 100%, $E$13) + CHOOSE(CONTROL!$C$28, 0, 0)</f>
        <v>58.186</v>
      </c>
      <c r="E625" s="4">
        <f>322.799673435251 * CHOOSE(CONTROL!$C$9, $C$13, 100%, $E$13) + CHOOSE(CONTROL!$C$28, 0, 0)</f>
        <v>322.79967343525101</v>
      </c>
    </row>
    <row r="626" spans="1:5" ht="15">
      <c r="A626" s="13">
        <v>60936</v>
      </c>
      <c r="B626" s="4">
        <f>54.9477 * CHOOSE(CONTROL!$C$9, $C$13, 100%, $E$13) + CHOOSE(CONTROL!$C$28, 0.0003, 0)</f>
        <v>54.948</v>
      </c>
      <c r="C626" s="4">
        <f>54.6352 * CHOOSE(CONTROL!$C$9, $C$13, 100%, $E$13) + CHOOSE(CONTROL!$C$28, 0.0003, 0)</f>
        <v>54.6355</v>
      </c>
      <c r="D626" s="4">
        <f>57.4102 * CHOOSE(CONTROL!$C$9, $C$13, 100%, $E$13) + CHOOSE(CONTROL!$C$28, 0, 0)</f>
        <v>57.410200000000003</v>
      </c>
      <c r="E626" s="4">
        <f>312.074506291987 * CHOOSE(CONTROL!$C$9, $C$13, 100%, $E$13) + CHOOSE(CONTROL!$C$28, 0, 0)</f>
        <v>312.07450629198701</v>
      </c>
    </row>
    <row r="627" spans="1:5" ht="15">
      <c r="A627" s="13">
        <v>60966</v>
      </c>
      <c r="B627" s="4">
        <f>53.7729 * CHOOSE(CONTROL!$C$9, $C$13, 100%, $E$13) + CHOOSE(CONTROL!$C$28, 0.0003, 0)</f>
        <v>53.773200000000003</v>
      </c>
      <c r="C627" s="4">
        <f>53.4604 * CHOOSE(CONTROL!$C$9, $C$13, 100%, $E$13) + CHOOSE(CONTROL!$C$28, 0.0003, 0)</f>
        <v>53.460700000000003</v>
      </c>
      <c r="D627" s="4">
        <f>57.1435 * CHOOSE(CONTROL!$C$9, $C$13, 100%, $E$13) + CHOOSE(CONTROL!$C$28, 0, 0)</f>
        <v>57.143500000000003</v>
      </c>
      <c r="E627" s="4">
        <f>305.166697746387 * CHOOSE(CONTROL!$C$9, $C$13, 100%, $E$13) + CHOOSE(CONTROL!$C$28, 0, 0)</f>
        <v>305.166697746387</v>
      </c>
    </row>
    <row r="628" spans="1:5" ht="15">
      <c r="A628" s="13">
        <v>60997</v>
      </c>
      <c r="B628" s="4">
        <f>52.9601 * CHOOSE(CONTROL!$C$9, $C$13, 100%, $E$13) + CHOOSE(CONTROL!$C$28, 0.0003, 0)</f>
        <v>52.9604</v>
      </c>
      <c r="C628" s="4">
        <f>52.6476 * CHOOSE(CONTROL!$C$9, $C$13, 100%, $E$13) + CHOOSE(CONTROL!$C$28, 0.0003, 0)</f>
        <v>52.6479</v>
      </c>
      <c r="D628" s="4">
        <f>55.1799 * CHOOSE(CONTROL!$C$9, $C$13, 100%, $E$13) + CHOOSE(CONTROL!$C$28, 0, 0)</f>
        <v>55.179900000000004</v>
      </c>
      <c r="E628" s="4">
        <f>300.387382193098 * CHOOSE(CONTROL!$C$9, $C$13, 100%, $E$13) + CHOOSE(CONTROL!$C$28, 0, 0)</f>
        <v>300.38738219309801</v>
      </c>
    </row>
    <row r="629" spans="1:5" ht="15">
      <c r="A629" s="13">
        <v>61028</v>
      </c>
      <c r="B629" s="4">
        <f>51.6395 * CHOOSE(CONTROL!$C$9, $C$13, 100%, $E$13) + CHOOSE(CONTROL!$C$28, 0.0003, 0)</f>
        <v>51.639800000000001</v>
      </c>
      <c r="C629" s="4">
        <f>51.327 * CHOOSE(CONTROL!$C$9, $C$13, 100%, $E$13) + CHOOSE(CONTROL!$C$28, 0.0003, 0)</f>
        <v>51.327300000000001</v>
      </c>
      <c r="D629" s="4">
        <f>53.3751 * CHOOSE(CONTROL!$C$9, $C$13, 100%, $E$13) + CHOOSE(CONTROL!$C$28, 0, 0)</f>
        <v>53.375100000000003</v>
      </c>
      <c r="E629" s="4">
        <f>291.773416757049 * CHOOSE(CONTROL!$C$9, $C$13, 100%, $E$13) + CHOOSE(CONTROL!$C$28, 0, 0)</f>
        <v>291.77341675704901</v>
      </c>
    </row>
    <row r="630" spans="1:5" ht="15">
      <c r="A630" s="13">
        <v>61056</v>
      </c>
      <c r="B630" s="4">
        <f>52.8211 * CHOOSE(CONTROL!$C$9, $C$13, 100%, $E$13) + CHOOSE(CONTROL!$C$28, 0.0003, 0)</f>
        <v>52.821400000000004</v>
      </c>
      <c r="C630" s="4">
        <f>52.5086 * CHOOSE(CONTROL!$C$9, $C$13, 100%, $E$13) + CHOOSE(CONTROL!$C$28, 0.0003, 0)</f>
        <v>52.508900000000004</v>
      </c>
      <c r="D630" s="4">
        <f>55.1925 * CHOOSE(CONTROL!$C$9, $C$13, 100%, $E$13) + CHOOSE(CONTROL!$C$28, 0, 0)</f>
        <v>55.192500000000003</v>
      </c>
      <c r="E630" s="4">
        <f>298.701267523475 * CHOOSE(CONTROL!$C$9, $C$13, 100%, $E$13) + CHOOSE(CONTROL!$C$28, 0, 0)</f>
        <v>298.701267523475</v>
      </c>
    </row>
    <row r="631" spans="1:5" ht="15">
      <c r="A631" s="13">
        <v>61087</v>
      </c>
      <c r="B631" s="4">
        <f>55.924 * CHOOSE(CONTROL!$C$9, $C$13, 100%, $E$13) + CHOOSE(CONTROL!$C$28, 0.0003, 0)</f>
        <v>55.924300000000002</v>
      </c>
      <c r="C631" s="4">
        <f>55.6115 * CHOOSE(CONTROL!$C$9, $C$13, 100%, $E$13) + CHOOSE(CONTROL!$C$28, 0.0003, 0)</f>
        <v>55.611800000000002</v>
      </c>
      <c r="D631" s="4">
        <f>58.0375 * CHOOSE(CONTROL!$C$9, $C$13, 100%, $E$13) + CHOOSE(CONTROL!$C$28, 0, 0)</f>
        <v>58.037500000000001</v>
      </c>
      <c r="E631" s="4">
        <f>316.894171804456 * CHOOSE(CONTROL!$C$9, $C$13, 100%, $E$13) + CHOOSE(CONTROL!$C$28, 0, 0)</f>
        <v>316.89417180445599</v>
      </c>
    </row>
    <row r="632" spans="1:5" ht="15">
      <c r="A632" s="13">
        <v>61117</v>
      </c>
      <c r="B632" s="4">
        <f>58.1287 * CHOOSE(CONTROL!$C$9, $C$13, 100%, $E$13) + CHOOSE(CONTROL!$C$28, 0.0003, 0)</f>
        <v>58.129000000000005</v>
      </c>
      <c r="C632" s="4">
        <f>57.8162 * CHOOSE(CONTROL!$C$9, $C$13, 100%, $E$13) + CHOOSE(CONTROL!$C$28, 0.0003, 0)</f>
        <v>57.816500000000005</v>
      </c>
      <c r="D632" s="4">
        <f>59.6763 * CHOOSE(CONTROL!$C$9, $C$13, 100%, $E$13) + CHOOSE(CONTROL!$C$28, 0, 0)</f>
        <v>59.676299999999998</v>
      </c>
      <c r="E632" s="4">
        <f>329.82047274842 * CHOOSE(CONTROL!$C$9, $C$13, 100%, $E$13) + CHOOSE(CONTROL!$C$28, 0, 0)</f>
        <v>329.82047274842</v>
      </c>
    </row>
    <row r="633" spans="1:5" ht="15">
      <c r="A633" s="13">
        <v>61148</v>
      </c>
      <c r="B633" s="4">
        <f>59.4758 * CHOOSE(CONTROL!$C$9, $C$13, 100%, $E$13) + CHOOSE(CONTROL!$C$28, 0.0294, 0)</f>
        <v>59.505200000000002</v>
      </c>
      <c r="C633" s="4">
        <f>59.1633 * CHOOSE(CONTROL!$C$9, $C$13, 100%, $E$13) + CHOOSE(CONTROL!$C$28, 0.0294, 0)</f>
        <v>59.192700000000002</v>
      </c>
      <c r="D633" s="4">
        <f>59.0287 * CHOOSE(CONTROL!$C$9, $C$13, 100%, $E$13) + CHOOSE(CONTROL!$C$28, 0, 0)</f>
        <v>59.028700000000001</v>
      </c>
      <c r="E633" s="4">
        <f>337.718132824987 * CHOOSE(CONTROL!$C$9, $C$13, 100%, $E$13) + CHOOSE(CONTROL!$C$28, 0, 0)</f>
        <v>337.71813282498698</v>
      </c>
    </row>
    <row r="634" spans="1:5" ht="15">
      <c r="A634" s="13">
        <v>61178</v>
      </c>
      <c r="B634" s="4">
        <f>59.658 * CHOOSE(CONTROL!$C$9, $C$13, 100%, $E$13) + CHOOSE(CONTROL!$C$28, 0.0294, 0)</f>
        <v>59.687400000000004</v>
      </c>
      <c r="C634" s="4">
        <f>59.3455 * CHOOSE(CONTROL!$C$9, $C$13, 100%, $E$13) + CHOOSE(CONTROL!$C$28, 0.0294, 0)</f>
        <v>59.374900000000004</v>
      </c>
      <c r="D634" s="4">
        <f>59.5561 * CHOOSE(CONTROL!$C$9, $C$13, 100%, $E$13) + CHOOSE(CONTROL!$C$28, 0, 0)</f>
        <v>59.556100000000001</v>
      </c>
      <c r="E634" s="4">
        <f>338.786719009309 * CHOOSE(CONTROL!$C$9, $C$13, 100%, $E$13) + CHOOSE(CONTROL!$C$28, 0, 0)</f>
        <v>338.78671900930902</v>
      </c>
    </row>
    <row r="635" spans="1:5" ht="15">
      <c r="A635" s="13">
        <v>61209</v>
      </c>
      <c r="B635" s="4">
        <f>59.6396 * CHOOSE(CONTROL!$C$9, $C$13, 100%, $E$13) + CHOOSE(CONTROL!$C$28, 0.0294, 0)</f>
        <v>59.669000000000004</v>
      </c>
      <c r="C635" s="4">
        <f>59.3271 * CHOOSE(CONTROL!$C$9, $C$13, 100%, $E$13) + CHOOSE(CONTROL!$C$28, 0.0294, 0)</f>
        <v>59.356500000000004</v>
      </c>
      <c r="D635" s="4">
        <f>60.5077 * CHOOSE(CONTROL!$C$9, $C$13, 100%, $E$13) + CHOOSE(CONTROL!$C$28, 0, 0)</f>
        <v>60.5077</v>
      </c>
      <c r="E635" s="4">
        <f>338.678962419293 * CHOOSE(CONTROL!$C$9, $C$13, 100%, $E$13) + CHOOSE(CONTROL!$C$28, 0, 0)</f>
        <v>338.67896241929299</v>
      </c>
    </row>
    <row r="636" spans="1:5" ht="15">
      <c r="A636" s="13">
        <v>61240</v>
      </c>
      <c r="B636" s="4">
        <f>61.0226 * CHOOSE(CONTROL!$C$9, $C$13, 100%, $E$13) + CHOOSE(CONTROL!$C$28, 0.0294, 0)</f>
        <v>61.052</v>
      </c>
      <c r="C636" s="4">
        <f>60.7101 * CHOOSE(CONTROL!$C$9, $C$13, 100%, $E$13) + CHOOSE(CONTROL!$C$28, 0.0294, 0)</f>
        <v>60.7395</v>
      </c>
      <c r="D636" s="4">
        <f>59.8792 * CHOOSE(CONTROL!$C$9, $C$13, 100%, $E$13) + CHOOSE(CONTROL!$C$28, 0, 0)</f>
        <v>59.879199999999997</v>
      </c>
      <c r="E636" s="4">
        <f>346.787645817973 * CHOOSE(CONTROL!$C$9, $C$13, 100%, $E$13) + CHOOSE(CONTROL!$C$28, 0, 0)</f>
        <v>346.78764581797299</v>
      </c>
    </row>
    <row r="637" spans="1:5" ht="15">
      <c r="A637" s="13">
        <v>61270</v>
      </c>
      <c r="B637" s="4">
        <f>58.6656 * CHOOSE(CONTROL!$C$9, $C$13, 100%, $E$13) + CHOOSE(CONTROL!$C$28, 0.0294, 0)</f>
        <v>58.695</v>
      </c>
      <c r="C637" s="4">
        <f>58.3531 * CHOOSE(CONTROL!$C$9, $C$13, 100%, $E$13) + CHOOSE(CONTROL!$C$28, 0.0294, 0)</f>
        <v>58.3825</v>
      </c>
      <c r="D637" s="4">
        <f>59.5823 * CHOOSE(CONTROL!$C$9, $C$13, 100%, $E$13) + CHOOSE(CONTROL!$C$28, 0, 0)</f>
        <v>59.582299999999996</v>
      </c>
      <c r="E637" s="4">
        <f>332.967863148462 * CHOOSE(CONTROL!$C$9, $C$13, 100%, $E$13) + CHOOSE(CONTROL!$C$28, 0, 0)</f>
        <v>332.96786314846202</v>
      </c>
    </row>
    <row r="638" spans="1:5" ht="15">
      <c r="A638" s="13">
        <v>61301</v>
      </c>
      <c r="B638" s="4">
        <f>56.7787 * CHOOSE(CONTROL!$C$9, $C$13, 100%, $E$13) + CHOOSE(CONTROL!$C$28, 0.0003, 0)</f>
        <v>56.779000000000003</v>
      </c>
      <c r="C638" s="4">
        <f>56.4662 * CHOOSE(CONTROL!$C$9, $C$13, 100%, $E$13) + CHOOSE(CONTROL!$C$28, 0.0003, 0)</f>
        <v>56.466500000000003</v>
      </c>
      <c r="D638" s="4">
        <f>58.7873 * CHOOSE(CONTROL!$C$9, $C$13, 100%, $E$13) + CHOOSE(CONTROL!$C$28, 0, 0)</f>
        <v>58.787300000000002</v>
      </c>
      <c r="E638" s="4">
        <f>321.904853240185 * CHOOSE(CONTROL!$C$9, $C$13, 100%, $E$13) + CHOOSE(CONTROL!$C$28, 0, 0)</f>
        <v>321.90485324018499</v>
      </c>
    </row>
    <row r="639" spans="1:5" ht="15">
      <c r="A639" s="13">
        <v>61331</v>
      </c>
      <c r="B639" s="4">
        <f>55.5634 * CHOOSE(CONTROL!$C$9, $C$13, 100%, $E$13) + CHOOSE(CONTROL!$C$28, 0.0003, 0)</f>
        <v>55.563700000000004</v>
      </c>
      <c r="C639" s="4">
        <f>55.2509 * CHOOSE(CONTROL!$C$9, $C$13, 100%, $E$13) + CHOOSE(CONTROL!$C$28, 0.0003, 0)</f>
        <v>55.251200000000004</v>
      </c>
      <c r="D639" s="4">
        <f>58.5139 * CHOOSE(CONTROL!$C$9, $C$13, 100%, $E$13) + CHOOSE(CONTROL!$C$28, 0, 0)</f>
        <v>58.5139</v>
      </c>
      <c r="E639" s="4">
        <f>314.779448725398 * CHOOSE(CONTROL!$C$9, $C$13, 100%, $E$13) + CHOOSE(CONTROL!$C$28, 0, 0)</f>
        <v>314.77944872539803</v>
      </c>
    </row>
    <row r="640" spans="1:5" ht="15">
      <c r="A640" s="13">
        <v>61362</v>
      </c>
      <c r="B640" s="4">
        <f>54.7225 * CHOOSE(CONTROL!$C$9, $C$13, 100%, $E$13) + CHOOSE(CONTROL!$C$28, 0.0003, 0)</f>
        <v>54.722799999999999</v>
      </c>
      <c r="C640" s="4">
        <f>54.41 * CHOOSE(CONTROL!$C$9, $C$13, 100%, $E$13) + CHOOSE(CONTROL!$C$28, 0.0003, 0)</f>
        <v>54.410299999999999</v>
      </c>
      <c r="D640" s="4">
        <f>56.5016 * CHOOSE(CONTROL!$C$9, $C$13, 100%, $E$13) + CHOOSE(CONTROL!$C$28, 0, 0)</f>
        <v>56.501600000000003</v>
      </c>
      <c r="E640" s="4">
        <f>309.84958473218 * CHOOSE(CONTROL!$C$9, $C$13, 100%, $E$13) + CHOOSE(CONTROL!$C$28, 0, 0)</f>
        <v>309.84958473218001</v>
      </c>
    </row>
    <row r="641" spans="1:5" ht="15">
      <c r="A641" s="13">
        <v>61393</v>
      </c>
      <c r="B641" s="4">
        <f>53.3564 * CHOOSE(CONTROL!$C$9, $C$13, 100%, $E$13) + CHOOSE(CONTROL!$C$28, 0.0003, 0)</f>
        <v>53.356700000000004</v>
      </c>
      <c r="C641" s="4">
        <f>53.0439 * CHOOSE(CONTROL!$C$9, $C$13, 100%, $E$13) + CHOOSE(CONTROL!$C$28, 0.0003, 0)</f>
        <v>53.044200000000004</v>
      </c>
      <c r="D641" s="4">
        <f>54.6522 * CHOOSE(CONTROL!$C$9, $C$13, 100%, $E$13) + CHOOSE(CONTROL!$C$28, 0, 0)</f>
        <v>54.652200000000001</v>
      </c>
      <c r="E641" s="4">
        <f>300.964279384897 * CHOOSE(CONTROL!$C$9, $C$13, 100%, $E$13) + CHOOSE(CONTROL!$C$28, 0, 0)</f>
        <v>300.964279384897</v>
      </c>
    </row>
    <row r="642" spans="1:5" ht="15">
      <c r="A642" s="13">
        <v>61422</v>
      </c>
      <c r="B642" s="4">
        <f>54.5787 * CHOOSE(CONTROL!$C$9, $C$13, 100%, $E$13) + CHOOSE(CONTROL!$C$28, 0.0003, 0)</f>
        <v>54.579000000000001</v>
      </c>
      <c r="C642" s="4">
        <f>54.2662 * CHOOSE(CONTROL!$C$9, $C$13, 100%, $E$13) + CHOOSE(CONTROL!$C$28, 0.0003, 0)</f>
        <v>54.266500000000001</v>
      </c>
      <c r="D642" s="4">
        <f>56.5146 * CHOOSE(CONTROL!$C$9, $C$13, 100%, $E$13) + CHOOSE(CONTROL!$C$28, 0, 0)</f>
        <v>56.514600000000002</v>
      </c>
      <c r="E642" s="4">
        <f>308.110357450464 * CHOOSE(CONTROL!$C$9, $C$13, 100%, $E$13) + CHOOSE(CONTROL!$C$28, 0, 0)</f>
        <v>308.11035745046399</v>
      </c>
    </row>
    <row r="643" spans="1:5" ht="15">
      <c r="A643" s="13">
        <v>61453</v>
      </c>
      <c r="B643" s="4">
        <f>57.7887 * CHOOSE(CONTROL!$C$9, $C$13, 100%, $E$13) + CHOOSE(CONTROL!$C$28, 0.0003, 0)</f>
        <v>57.789000000000001</v>
      </c>
      <c r="C643" s="4">
        <f>57.4762 * CHOOSE(CONTROL!$C$9, $C$13, 100%, $E$13) + CHOOSE(CONTROL!$C$28, 0.0003, 0)</f>
        <v>57.476500000000001</v>
      </c>
      <c r="D643" s="4">
        <f>59.4301 * CHOOSE(CONTROL!$C$9, $C$13, 100%, $E$13) + CHOOSE(CONTROL!$C$28, 0, 0)</f>
        <v>59.430100000000003</v>
      </c>
      <c r="E643" s="4">
        <f>326.876338216296 * CHOOSE(CONTROL!$C$9, $C$13, 100%, $E$13) + CHOOSE(CONTROL!$C$28, 0, 0)</f>
        <v>326.87633821629601</v>
      </c>
    </row>
    <row r="644" spans="1:5" ht="15">
      <c r="A644" s="13">
        <v>61483</v>
      </c>
      <c r="B644" s="4">
        <f>60.0695 * CHOOSE(CONTROL!$C$9, $C$13, 100%, $E$13) + CHOOSE(CONTROL!$C$28, 0.0003, 0)</f>
        <v>60.069800000000001</v>
      </c>
      <c r="C644" s="4">
        <f>59.757 * CHOOSE(CONTROL!$C$9, $C$13, 100%, $E$13) + CHOOSE(CONTROL!$C$28, 0.0003, 0)</f>
        <v>59.757300000000001</v>
      </c>
      <c r="D644" s="4">
        <f>61.1095 * CHOOSE(CONTROL!$C$9, $C$13, 100%, $E$13) + CHOOSE(CONTROL!$C$28, 0, 0)</f>
        <v>61.109499999999997</v>
      </c>
      <c r="E644" s="4">
        <f>340.209817639996 * CHOOSE(CONTROL!$C$9, $C$13, 100%, $E$13) + CHOOSE(CONTROL!$C$28, 0, 0)</f>
        <v>340.209817639996</v>
      </c>
    </row>
    <row r="645" spans="1:5" ht="15">
      <c r="A645" s="13">
        <v>61514</v>
      </c>
      <c r="B645" s="4">
        <f>61.463 * CHOOSE(CONTROL!$C$9, $C$13, 100%, $E$13) + CHOOSE(CONTROL!$C$28, 0.0294, 0)</f>
        <v>61.492400000000004</v>
      </c>
      <c r="C645" s="4">
        <f>61.1505 * CHOOSE(CONTROL!$C$9, $C$13, 100%, $E$13) + CHOOSE(CONTROL!$C$28, 0.0294, 0)</f>
        <v>61.179900000000004</v>
      </c>
      <c r="D645" s="4">
        <f>60.4459 * CHOOSE(CONTROL!$C$9, $C$13, 100%, $E$13) + CHOOSE(CONTROL!$C$28, 0, 0)</f>
        <v>60.445900000000002</v>
      </c>
      <c r="E645" s="4">
        <f>348.356254008974 * CHOOSE(CONTROL!$C$9, $C$13, 100%, $E$13) + CHOOSE(CONTROL!$C$28, 0, 0)</f>
        <v>348.35625400897402</v>
      </c>
    </row>
    <row r="646" spans="1:5" ht="15">
      <c r="A646" s="13">
        <v>61544</v>
      </c>
      <c r="B646" s="4">
        <f>61.6515 * CHOOSE(CONTROL!$C$9, $C$13, 100%, $E$13) + CHOOSE(CONTROL!$C$28, 0.0294, 0)</f>
        <v>61.680900000000001</v>
      </c>
      <c r="C646" s="4">
        <f>61.339 * CHOOSE(CONTROL!$C$9, $C$13, 100%, $E$13) + CHOOSE(CONTROL!$C$28, 0.0294, 0)</f>
        <v>61.368400000000001</v>
      </c>
      <c r="D646" s="4">
        <f>60.9864 * CHOOSE(CONTROL!$C$9, $C$13, 100%, $E$13) + CHOOSE(CONTROL!$C$28, 0, 0)</f>
        <v>60.986400000000003</v>
      </c>
      <c r="E646" s="4">
        <f>349.458500658102 * CHOOSE(CONTROL!$C$9, $C$13, 100%, $E$13) + CHOOSE(CONTROL!$C$28, 0, 0)</f>
        <v>349.45850065810203</v>
      </c>
    </row>
    <row r="647" spans="1:5" ht="15">
      <c r="A647" s="13">
        <v>61575</v>
      </c>
      <c r="B647" s="4">
        <f>61.6325 * CHOOSE(CONTROL!$C$9, $C$13, 100%, $E$13) + CHOOSE(CONTROL!$C$28, 0.0294, 0)</f>
        <v>61.661900000000003</v>
      </c>
      <c r="C647" s="4">
        <f>61.32 * CHOOSE(CONTROL!$C$9, $C$13, 100%, $E$13) + CHOOSE(CONTROL!$C$28, 0.0294, 0)</f>
        <v>61.349400000000003</v>
      </c>
      <c r="D647" s="4">
        <f>61.9616 * CHOOSE(CONTROL!$C$9, $C$13, 100%, $E$13) + CHOOSE(CONTROL!$C$28, 0, 0)</f>
        <v>61.961599999999997</v>
      </c>
      <c r="E647" s="4">
        <f>349.347349735501 * CHOOSE(CONTROL!$C$9, $C$13, 100%, $E$13) + CHOOSE(CONTROL!$C$28, 0, 0)</f>
        <v>349.34734973550098</v>
      </c>
    </row>
    <row r="648" spans="1:5" ht="15">
      <c r="A648" s="13">
        <v>61606</v>
      </c>
      <c r="B648" s="4">
        <f>63.0632 * CHOOSE(CONTROL!$C$9, $C$13, 100%, $E$13) + CHOOSE(CONTROL!$C$28, 0.0294, 0)</f>
        <v>63.092600000000004</v>
      </c>
      <c r="C648" s="4">
        <f>62.7507 * CHOOSE(CONTROL!$C$9, $C$13, 100%, $E$13) + CHOOSE(CONTROL!$C$28, 0.0294, 0)</f>
        <v>62.780100000000004</v>
      </c>
      <c r="D648" s="4">
        <f>61.3176 * CHOOSE(CONTROL!$C$9, $C$13, 100%, $E$13) + CHOOSE(CONTROL!$C$28, 0, 0)</f>
        <v>61.317599999999999</v>
      </c>
      <c r="E648" s="4">
        <f>357.711456661239 * CHOOSE(CONTROL!$C$9, $C$13, 100%, $E$13) + CHOOSE(CONTROL!$C$28, 0, 0)</f>
        <v>357.71145666123903</v>
      </c>
    </row>
    <row r="649" spans="1:5" ht="15">
      <c r="A649" s="13">
        <v>61636</v>
      </c>
      <c r="B649" s="4">
        <f>60.6248 * CHOOSE(CONTROL!$C$9, $C$13, 100%, $E$13) + CHOOSE(CONTROL!$C$28, 0.0294, 0)</f>
        <v>60.654200000000003</v>
      </c>
      <c r="C649" s="4">
        <f>60.3123 * CHOOSE(CONTROL!$C$9, $C$13, 100%, $E$13) + CHOOSE(CONTROL!$C$28, 0.0294, 0)</f>
        <v>60.341700000000003</v>
      </c>
      <c r="D649" s="4">
        <f>61.0133 * CHOOSE(CONTROL!$C$9, $C$13, 100%, $E$13) + CHOOSE(CONTROL!$C$28, 0, 0)</f>
        <v>61.013300000000001</v>
      </c>
      <c r="E649" s="4">
        <f>343.456350837638 * CHOOSE(CONTROL!$C$9, $C$13, 100%, $E$13) + CHOOSE(CONTROL!$C$28, 0, 0)</f>
        <v>343.45635083763801</v>
      </c>
    </row>
    <row r="650" spans="1:5" ht="15">
      <c r="A650" s="13">
        <v>61667</v>
      </c>
      <c r="B650" s="4">
        <f>58.6728 * CHOOSE(CONTROL!$C$9, $C$13, 100%, $E$13) + CHOOSE(CONTROL!$C$28, 0.0003, 0)</f>
        <v>58.673100000000005</v>
      </c>
      <c r="C650" s="4">
        <f>58.3603 * CHOOSE(CONTROL!$C$9, $C$13, 100%, $E$13) + CHOOSE(CONTROL!$C$28, 0.0003, 0)</f>
        <v>58.360600000000005</v>
      </c>
      <c r="D650" s="4">
        <f>60.1985 * CHOOSE(CONTROL!$C$9, $C$13, 100%, $E$13) + CHOOSE(CONTROL!$C$28, 0, 0)</f>
        <v>60.198500000000003</v>
      </c>
      <c r="E650" s="4">
        <f>332.044856117251 * CHOOSE(CONTROL!$C$9, $C$13, 100%, $E$13) + CHOOSE(CONTROL!$C$28, 0, 0)</f>
        <v>332.04485611725102</v>
      </c>
    </row>
    <row r="651" spans="1:5" ht="15">
      <c r="A651" s="13">
        <v>61697</v>
      </c>
      <c r="B651" s="4">
        <f>57.4156 * CHOOSE(CONTROL!$C$9, $C$13, 100%, $E$13) + CHOOSE(CONTROL!$C$28, 0.0003, 0)</f>
        <v>57.415900000000001</v>
      </c>
      <c r="C651" s="4">
        <f>57.1031 * CHOOSE(CONTROL!$C$9, $C$13, 100%, $E$13) + CHOOSE(CONTROL!$C$28, 0.0003, 0)</f>
        <v>57.103400000000001</v>
      </c>
      <c r="D651" s="4">
        <f>59.9184 * CHOOSE(CONTROL!$C$9, $C$13, 100%, $E$13) + CHOOSE(CONTROL!$C$28, 0, 0)</f>
        <v>59.918399999999998</v>
      </c>
      <c r="E651" s="4">
        <f>324.695001360248 * CHOOSE(CONTROL!$C$9, $C$13, 100%, $E$13) + CHOOSE(CONTROL!$C$28, 0, 0)</f>
        <v>324.695001360248</v>
      </c>
    </row>
    <row r="652" spans="1:5" ht="15">
      <c r="A652" s="13">
        <v>61728</v>
      </c>
      <c r="B652" s="4">
        <f>56.5458 * CHOOSE(CONTROL!$C$9, $C$13, 100%, $E$13) + CHOOSE(CONTROL!$C$28, 0.0003, 0)</f>
        <v>56.546100000000003</v>
      </c>
      <c r="C652" s="4">
        <f>56.2333 * CHOOSE(CONTROL!$C$9, $C$13, 100%, $E$13) + CHOOSE(CONTROL!$C$28, 0.0003, 0)</f>
        <v>56.233600000000003</v>
      </c>
      <c r="D652" s="4">
        <f>57.8562 * CHOOSE(CONTROL!$C$9, $C$13, 100%, $E$13) + CHOOSE(CONTROL!$C$28, 0, 0)</f>
        <v>57.856200000000001</v>
      </c>
      <c r="E652" s="4">
        <f>319.609846651244 * CHOOSE(CONTROL!$C$9, $C$13, 100%, $E$13) + CHOOSE(CONTROL!$C$28, 0, 0)</f>
        <v>319.60984665124403</v>
      </c>
    </row>
    <row r="653" spans="1:5" ht="15">
      <c r="A653" s="13">
        <v>61759</v>
      </c>
      <c r="B653" s="4">
        <f>55.1325 * CHOOSE(CONTROL!$C$9, $C$13, 100%, $E$13) + CHOOSE(CONTROL!$C$28, 0.0003, 0)</f>
        <v>55.132800000000003</v>
      </c>
      <c r="C653" s="4">
        <f>54.82 * CHOOSE(CONTROL!$C$9, $C$13, 100%, $E$13) + CHOOSE(CONTROL!$C$28, 0.0003, 0)</f>
        <v>54.820300000000003</v>
      </c>
      <c r="D653" s="4">
        <f>55.9608 * CHOOSE(CONTROL!$C$9, $C$13, 100%, $E$13) + CHOOSE(CONTROL!$C$28, 0, 0)</f>
        <v>55.960799999999999</v>
      </c>
      <c r="E653" s="4">
        <f>310.444654185521 * CHOOSE(CONTROL!$C$9, $C$13, 100%, $E$13) + CHOOSE(CONTROL!$C$28, 0, 0)</f>
        <v>310.44465418552102</v>
      </c>
    </row>
    <row r="654" spans="1:5" ht="15">
      <c r="A654" s="13">
        <v>61787</v>
      </c>
      <c r="B654" s="4">
        <f>56.397 * CHOOSE(CONTROL!$C$9, $C$13, 100%, $E$13) + CHOOSE(CONTROL!$C$28, 0.0003, 0)</f>
        <v>56.397300000000001</v>
      </c>
      <c r="C654" s="4">
        <f>56.0845 * CHOOSE(CONTROL!$C$9, $C$13, 100%, $E$13) + CHOOSE(CONTROL!$C$28, 0.0003, 0)</f>
        <v>56.084800000000001</v>
      </c>
      <c r="D654" s="4">
        <f>57.8695 * CHOOSE(CONTROL!$C$9, $C$13, 100%, $E$13) + CHOOSE(CONTROL!$C$28, 0, 0)</f>
        <v>57.869500000000002</v>
      </c>
      <c r="E654" s="4">
        <f>317.815833710154 * CHOOSE(CONTROL!$C$9, $C$13, 100%, $E$13) + CHOOSE(CONTROL!$C$28, 0, 0)</f>
        <v>317.81583371015398</v>
      </c>
    </row>
    <row r="655" spans="1:5" ht="15">
      <c r="A655" s="13">
        <v>61818</v>
      </c>
      <c r="B655" s="4">
        <f>59.7178 * CHOOSE(CONTROL!$C$9, $C$13, 100%, $E$13) + CHOOSE(CONTROL!$C$28, 0.0003, 0)</f>
        <v>59.7181</v>
      </c>
      <c r="C655" s="4">
        <f>59.4053 * CHOOSE(CONTROL!$C$9, $C$13, 100%, $E$13) + CHOOSE(CONTROL!$C$28, 0.0003, 0)</f>
        <v>59.4056</v>
      </c>
      <c r="D655" s="4">
        <f>60.8573 * CHOOSE(CONTROL!$C$9, $C$13, 100%, $E$13) + CHOOSE(CONTROL!$C$28, 0, 0)</f>
        <v>60.857300000000002</v>
      </c>
      <c r="E655" s="4">
        <f>337.172942870109 * CHOOSE(CONTROL!$C$9, $C$13, 100%, $E$13) + CHOOSE(CONTROL!$C$28, 0, 0)</f>
        <v>337.17294287010901</v>
      </c>
    </row>
    <row r="656" spans="1:5" ht="15">
      <c r="A656" s="13">
        <v>61848</v>
      </c>
      <c r="B656" s="4">
        <f>62.0772 * CHOOSE(CONTROL!$C$9, $C$13, 100%, $E$13) + CHOOSE(CONTROL!$C$28, 0.0003, 0)</f>
        <v>62.077500000000001</v>
      </c>
      <c r="C656" s="4">
        <f>61.7647 * CHOOSE(CONTROL!$C$9, $C$13, 100%, $E$13) + CHOOSE(CONTROL!$C$28, 0.0003, 0)</f>
        <v>61.765000000000001</v>
      </c>
      <c r="D656" s="4">
        <f>62.5784 * CHOOSE(CONTROL!$C$9, $C$13, 100%, $E$13) + CHOOSE(CONTROL!$C$28, 0, 0)</f>
        <v>62.578400000000002</v>
      </c>
      <c r="E656" s="4">
        <f>350.926426895656 * CHOOSE(CONTROL!$C$9, $C$13, 100%, $E$13) + CHOOSE(CONTROL!$C$28, 0, 0)</f>
        <v>350.92642689565599</v>
      </c>
    </row>
    <row r="657" spans="1:5" ht="15">
      <c r="A657" s="13">
        <v>61879</v>
      </c>
      <c r="B657" s="4">
        <f>63.5188 * CHOOSE(CONTROL!$C$9, $C$13, 100%, $E$13) + CHOOSE(CONTROL!$C$28, 0.0294, 0)</f>
        <v>63.548200000000001</v>
      </c>
      <c r="C657" s="4">
        <f>63.2063 * CHOOSE(CONTROL!$C$9, $C$13, 100%, $E$13) + CHOOSE(CONTROL!$C$28, 0.0294, 0)</f>
        <v>63.235700000000001</v>
      </c>
      <c r="D657" s="4">
        <f>61.8983 * CHOOSE(CONTROL!$C$9, $C$13, 100%, $E$13) + CHOOSE(CONTROL!$C$28, 0, 0)</f>
        <v>61.898299999999999</v>
      </c>
      <c r="E657" s="4">
        <f>359.329476010256 * CHOOSE(CONTROL!$C$9, $C$13, 100%, $E$13) + CHOOSE(CONTROL!$C$28, 0, 0)</f>
        <v>359.32947601025597</v>
      </c>
    </row>
    <row r="658" spans="1:5" ht="15">
      <c r="A658" s="13">
        <v>61909</v>
      </c>
      <c r="B658" s="4">
        <f>63.7138 * CHOOSE(CONTROL!$C$9, $C$13, 100%, $E$13) + CHOOSE(CONTROL!$C$28, 0.0294, 0)</f>
        <v>63.743200000000002</v>
      </c>
      <c r="C658" s="4">
        <f>63.4013 * CHOOSE(CONTROL!$C$9, $C$13, 100%, $E$13) + CHOOSE(CONTROL!$C$28, 0.0294, 0)</f>
        <v>63.430700000000002</v>
      </c>
      <c r="D658" s="4">
        <f>62.4521 * CHOOSE(CONTROL!$C$9, $C$13, 100%, $E$13) + CHOOSE(CONTROL!$C$28, 0, 0)</f>
        <v>62.452100000000002</v>
      </c>
      <c r="E658" s="4">
        <f>360.466443428832 * CHOOSE(CONTROL!$C$9, $C$13, 100%, $E$13) + CHOOSE(CONTROL!$C$28, 0, 0)</f>
        <v>360.46644342883201</v>
      </c>
    </row>
    <row r="659" spans="1:5" ht="15">
      <c r="A659" s="13">
        <v>61940</v>
      </c>
      <c r="B659" s="4">
        <f>63.6941 * CHOOSE(CONTROL!$C$9, $C$13, 100%, $E$13) + CHOOSE(CONTROL!$C$28, 0.0294, 0)</f>
        <v>63.723500000000001</v>
      </c>
      <c r="C659" s="4">
        <f>63.3816 * CHOOSE(CONTROL!$C$9, $C$13, 100%, $E$13) + CHOOSE(CONTROL!$C$28, 0.0294, 0)</f>
        <v>63.411000000000001</v>
      </c>
      <c r="D659" s="4">
        <f>63.4515 * CHOOSE(CONTROL!$C$9, $C$13, 100%, $E$13) + CHOOSE(CONTROL!$C$28, 0, 0)</f>
        <v>63.451500000000003</v>
      </c>
      <c r="E659" s="4">
        <f>360.351791252169 * CHOOSE(CONTROL!$C$9, $C$13, 100%, $E$13) + CHOOSE(CONTROL!$C$28, 0, 0)</f>
        <v>360.35179125216899</v>
      </c>
    </row>
    <row r="660" spans="1:5" ht="15">
      <c r="A660" s="13">
        <v>61971</v>
      </c>
      <c r="B660" s="4">
        <f>65.1742 * CHOOSE(CONTROL!$C$9, $C$13, 100%, $E$13) + CHOOSE(CONTROL!$C$28, 0.0294, 0)</f>
        <v>65.203599999999994</v>
      </c>
      <c r="C660" s="4">
        <f>64.8617 * CHOOSE(CONTROL!$C$9, $C$13, 100%, $E$13) + CHOOSE(CONTROL!$C$28, 0.0294, 0)</f>
        <v>64.891099999999994</v>
      </c>
      <c r="D660" s="4">
        <f>62.7915 * CHOOSE(CONTROL!$C$9, $C$13, 100%, $E$13) + CHOOSE(CONTROL!$C$28, 0, 0)</f>
        <v>62.791499999999999</v>
      </c>
      <c r="E660" s="4">
        <f>368.979367546068 * CHOOSE(CONTROL!$C$9, $C$13, 100%, $E$13) + CHOOSE(CONTROL!$C$28, 0, 0)</f>
        <v>368.97936754606798</v>
      </c>
    </row>
    <row r="661" spans="1:5" ht="15">
      <c r="A661" s="13">
        <v>62001</v>
      </c>
      <c r="B661" s="4">
        <f>62.6517 * CHOOSE(CONTROL!$C$9, $C$13, 100%, $E$13) + CHOOSE(CONTROL!$C$28, 0.0294, 0)</f>
        <v>62.681100000000001</v>
      </c>
      <c r="C661" s="4">
        <f>62.3392 * CHOOSE(CONTROL!$C$9, $C$13, 100%, $E$13) + CHOOSE(CONTROL!$C$28, 0.0294, 0)</f>
        <v>62.368600000000001</v>
      </c>
      <c r="D661" s="4">
        <f>62.4797 * CHOOSE(CONTROL!$C$9, $C$13, 100%, $E$13) + CHOOSE(CONTROL!$C$28, 0, 0)</f>
        <v>62.479700000000001</v>
      </c>
      <c r="E661" s="4">
        <f>354.275225889024 * CHOOSE(CONTROL!$C$9, $C$13, 100%, $E$13) + CHOOSE(CONTROL!$C$28, 0, 0)</f>
        <v>354.275225889024</v>
      </c>
    </row>
    <row r="662" spans="1:5" ht="15">
      <c r="A662" s="13">
        <v>62032</v>
      </c>
      <c r="B662" s="4">
        <f>60.6324 * CHOOSE(CONTROL!$C$9, $C$13, 100%, $E$13) + CHOOSE(CONTROL!$C$28, 0.0003, 0)</f>
        <v>60.6327</v>
      </c>
      <c r="C662" s="4">
        <f>60.3199 * CHOOSE(CONTROL!$C$9, $C$13, 100%, $E$13) + CHOOSE(CONTROL!$C$28, 0.0003, 0)</f>
        <v>60.3202</v>
      </c>
      <c r="D662" s="4">
        <f>61.6447 * CHOOSE(CONTROL!$C$9, $C$13, 100%, $E$13) + CHOOSE(CONTROL!$C$28, 0, 0)</f>
        <v>61.6447</v>
      </c>
      <c r="E662" s="4">
        <f>342.504269084944 * CHOOSE(CONTROL!$C$9, $C$13, 100%, $E$13) + CHOOSE(CONTROL!$C$28, 0, 0)</f>
        <v>342.50426908494399</v>
      </c>
    </row>
    <row r="663" spans="1:5" ht="15">
      <c r="A663" s="13">
        <v>62062</v>
      </c>
      <c r="B663" s="4">
        <f>59.3318 * CHOOSE(CONTROL!$C$9, $C$13, 100%, $E$13) + CHOOSE(CONTROL!$C$28, 0.0003, 0)</f>
        <v>59.332100000000004</v>
      </c>
      <c r="C663" s="4">
        <f>59.0193 * CHOOSE(CONTROL!$C$9, $C$13, 100%, $E$13) + CHOOSE(CONTROL!$C$28, 0.0003, 0)</f>
        <v>59.019600000000004</v>
      </c>
      <c r="D663" s="4">
        <f>61.3577 * CHOOSE(CONTROL!$C$9, $C$13, 100%, $E$13) + CHOOSE(CONTROL!$C$28, 0, 0)</f>
        <v>61.357700000000001</v>
      </c>
      <c r="E663" s="4">
        <f>334.922893903096 * CHOOSE(CONTROL!$C$9, $C$13, 100%, $E$13) + CHOOSE(CONTROL!$C$28, 0, 0)</f>
        <v>334.922893903096</v>
      </c>
    </row>
    <row r="664" spans="1:5" ht="15">
      <c r="A664" s="13">
        <v>62093</v>
      </c>
      <c r="B664" s="4">
        <f>58.4319 * CHOOSE(CONTROL!$C$9, $C$13, 100%, $E$13) + CHOOSE(CONTROL!$C$28, 0.0003, 0)</f>
        <v>58.432200000000002</v>
      </c>
      <c r="C664" s="4">
        <f>58.1194 * CHOOSE(CONTROL!$C$9, $C$13, 100%, $E$13) + CHOOSE(CONTROL!$C$28, 0.0003, 0)</f>
        <v>58.119700000000002</v>
      </c>
      <c r="D664" s="4">
        <f>59.2443 * CHOOSE(CONTROL!$C$9, $C$13, 100%, $E$13) + CHOOSE(CONTROL!$C$28, 0, 0)</f>
        <v>59.244300000000003</v>
      </c>
      <c r="E664" s="4">
        <f>329.677556820758 * CHOOSE(CONTROL!$C$9, $C$13, 100%, $E$13) + CHOOSE(CONTROL!$C$28, 0, 0)</f>
        <v>329.67755682075801</v>
      </c>
    </row>
    <row r="665" spans="1:5" ht="15">
      <c r="A665" s="13">
        <v>62124</v>
      </c>
      <c r="B665" s="4">
        <f>56.9698 * CHOOSE(CONTROL!$C$9, $C$13, 100%, $E$13) + CHOOSE(CONTROL!$C$28, 0.0003, 0)</f>
        <v>56.970100000000002</v>
      </c>
      <c r="C665" s="4">
        <f>56.6573 * CHOOSE(CONTROL!$C$9, $C$13, 100%, $E$13) + CHOOSE(CONTROL!$C$28, 0.0003, 0)</f>
        <v>56.657600000000002</v>
      </c>
      <c r="D665" s="4">
        <f>57.302 * CHOOSE(CONTROL!$C$9, $C$13, 100%, $E$13) + CHOOSE(CONTROL!$C$28, 0, 0)</f>
        <v>57.302</v>
      </c>
      <c r="E665" s="4">
        <f>320.223660792365 * CHOOSE(CONTROL!$C$9, $C$13, 100%, $E$13) + CHOOSE(CONTROL!$C$28, 0, 0)</f>
        <v>320.22366079236502</v>
      </c>
    </row>
    <row r="666" spans="1:5" ht="15">
      <c r="A666" s="13">
        <v>62152</v>
      </c>
      <c r="B666" s="4">
        <f>58.278 * CHOOSE(CONTROL!$C$9, $C$13, 100%, $E$13) + CHOOSE(CONTROL!$C$28, 0.0003, 0)</f>
        <v>58.278300000000002</v>
      </c>
      <c r="C666" s="4">
        <f>57.9655 * CHOOSE(CONTROL!$C$9, $C$13, 100%, $E$13) + CHOOSE(CONTROL!$C$28, 0.0003, 0)</f>
        <v>57.965800000000002</v>
      </c>
      <c r="D666" s="4">
        <f>59.2579 * CHOOSE(CONTROL!$C$9, $C$13, 100%, $E$13) + CHOOSE(CONTROL!$C$28, 0, 0)</f>
        <v>59.257899999999999</v>
      </c>
      <c r="E666" s="4">
        <f>327.827032472023 * CHOOSE(CONTROL!$C$9, $C$13, 100%, $E$13) + CHOOSE(CONTROL!$C$28, 0, 0)</f>
        <v>327.82703247202301</v>
      </c>
    </row>
    <row r="667" spans="1:5" ht="15">
      <c r="A667" s="13">
        <v>62183</v>
      </c>
      <c r="B667" s="4">
        <f>61.7133 * CHOOSE(CONTROL!$C$9, $C$13, 100%, $E$13) + CHOOSE(CONTROL!$C$28, 0.0003, 0)</f>
        <v>61.7136</v>
      </c>
      <c r="C667" s="4">
        <f>61.4008 * CHOOSE(CONTROL!$C$9, $C$13, 100%, $E$13) + CHOOSE(CONTROL!$C$28, 0.0003, 0)</f>
        <v>61.4011</v>
      </c>
      <c r="D667" s="4">
        <f>62.3199 * CHOOSE(CONTROL!$C$9, $C$13, 100%, $E$13) + CHOOSE(CONTROL!$C$28, 0, 0)</f>
        <v>62.319899999999997</v>
      </c>
      <c r="E667" s="4">
        <f>347.793890570518 * CHOOSE(CONTROL!$C$9, $C$13, 100%, $E$13) + CHOOSE(CONTROL!$C$28, 0, 0)</f>
        <v>347.79389057051799</v>
      </c>
    </row>
    <row r="668" spans="1:5" ht="15">
      <c r="A668" s="13">
        <v>62213</v>
      </c>
      <c r="B668" s="4">
        <f>64.1542 * CHOOSE(CONTROL!$C$9, $C$13, 100%, $E$13) + CHOOSE(CONTROL!$C$28, 0.0003, 0)</f>
        <v>64.154499999999999</v>
      </c>
      <c r="C668" s="4">
        <f>63.8417 * CHOOSE(CONTROL!$C$9, $C$13, 100%, $E$13) + CHOOSE(CONTROL!$C$28, 0.0003, 0)</f>
        <v>63.842000000000006</v>
      </c>
      <c r="D668" s="4">
        <f>64.0836 * CHOOSE(CONTROL!$C$9, $C$13, 100%, $E$13) + CHOOSE(CONTROL!$C$28, 0, 0)</f>
        <v>64.083600000000004</v>
      </c>
      <c r="E668" s="4">
        <f>361.980609342869 * CHOOSE(CONTROL!$C$9, $C$13, 100%, $E$13) + CHOOSE(CONTROL!$C$28, 0, 0)</f>
        <v>361.980609342869</v>
      </c>
    </row>
    <row r="669" spans="1:5" ht="15">
      <c r="A669" s="13">
        <v>62244</v>
      </c>
      <c r="B669" s="4">
        <f>65.6455 * CHOOSE(CONTROL!$C$9, $C$13, 100%, $E$13) + CHOOSE(CONTROL!$C$28, 0.0294, 0)</f>
        <v>65.674899999999994</v>
      </c>
      <c r="C669" s="4">
        <f>65.333 * CHOOSE(CONTROL!$C$9, $C$13, 100%, $E$13) + CHOOSE(CONTROL!$C$28, 0.0294, 0)</f>
        <v>65.362399999999994</v>
      </c>
      <c r="D669" s="4">
        <f>63.3867 * CHOOSE(CONTROL!$C$9, $C$13, 100%, $E$13) + CHOOSE(CONTROL!$C$28, 0, 0)</f>
        <v>63.386699999999998</v>
      </c>
      <c r="E669" s="4">
        <f>370.648354504579 * CHOOSE(CONTROL!$C$9, $C$13, 100%, $E$13) + CHOOSE(CONTROL!$C$28, 0, 0)</f>
        <v>370.648354504579</v>
      </c>
    </row>
    <row r="670" spans="1:5" ht="15">
      <c r="A670" s="13">
        <v>62274</v>
      </c>
      <c r="B670" s="4">
        <f>65.8473 * CHOOSE(CONTROL!$C$9, $C$13, 100%, $E$13) + CHOOSE(CONTROL!$C$28, 0.0294, 0)</f>
        <v>65.8767</v>
      </c>
      <c r="C670" s="4">
        <f>65.5348 * CHOOSE(CONTROL!$C$9, $C$13, 100%, $E$13) + CHOOSE(CONTROL!$C$28, 0.0294, 0)</f>
        <v>65.5642</v>
      </c>
      <c r="D670" s="4">
        <f>63.9543 * CHOOSE(CONTROL!$C$9, $C$13, 100%, $E$13) + CHOOSE(CONTROL!$C$28, 0, 0)</f>
        <v>63.954300000000003</v>
      </c>
      <c r="E670" s="4">
        <f>371.82113639684 * CHOOSE(CONTROL!$C$9, $C$13, 100%, $E$13) + CHOOSE(CONTROL!$C$28, 0, 0)</f>
        <v>371.82113639684002</v>
      </c>
    </row>
    <row r="671" spans="1:5" ht="15">
      <c r="A671" s="13">
        <v>62305</v>
      </c>
      <c r="B671" s="4">
        <f>65.8269 * CHOOSE(CONTROL!$C$9, $C$13, 100%, $E$13) + CHOOSE(CONTROL!$C$28, 0.0294, 0)</f>
        <v>65.85629999999999</v>
      </c>
      <c r="C671" s="4">
        <f>65.5144 * CHOOSE(CONTROL!$C$9, $C$13, 100%, $E$13) + CHOOSE(CONTROL!$C$28, 0.0294, 0)</f>
        <v>65.54379999999999</v>
      </c>
      <c r="D671" s="4">
        <f>64.9785 * CHOOSE(CONTROL!$C$9, $C$13, 100%, $E$13) + CHOOSE(CONTROL!$C$28, 0, 0)</f>
        <v>64.978499999999997</v>
      </c>
      <c r="E671" s="4">
        <f>371.702872676612 * CHOOSE(CONTROL!$C$9, $C$13, 100%, $E$13) + CHOOSE(CONTROL!$C$28, 0, 0)</f>
        <v>371.702872676612</v>
      </c>
    </row>
    <row r="672" spans="1:5" ht="15">
      <c r="A672" s="13">
        <v>62336</v>
      </c>
      <c r="B672" s="4">
        <f>67.358 * CHOOSE(CONTROL!$C$9, $C$13, 100%, $E$13) + CHOOSE(CONTROL!$C$28, 0.0294, 0)</f>
        <v>67.3874</v>
      </c>
      <c r="C672" s="4">
        <f>67.0455 * CHOOSE(CONTROL!$C$9, $C$13, 100%, $E$13) + CHOOSE(CONTROL!$C$28, 0.0294, 0)</f>
        <v>67.0749</v>
      </c>
      <c r="D672" s="4">
        <f>64.3021 * CHOOSE(CONTROL!$C$9, $C$13, 100%, $E$13) + CHOOSE(CONTROL!$C$28, 0, 0)</f>
        <v>64.302099999999996</v>
      </c>
      <c r="E672" s="4">
        <f>380.60221762377 * CHOOSE(CONTROL!$C$9, $C$13, 100%, $E$13) + CHOOSE(CONTROL!$C$28, 0, 0)</f>
        <v>380.60221762377</v>
      </c>
    </row>
    <row r="673" spans="1:5" ht="15">
      <c r="A673" s="13">
        <v>62366</v>
      </c>
      <c r="B673" s="4">
        <f>64.7485 * CHOOSE(CONTROL!$C$9, $C$13, 100%, $E$13) + CHOOSE(CONTROL!$C$28, 0.0294, 0)</f>
        <v>64.777900000000002</v>
      </c>
      <c r="C673" s="4">
        <f>64.436 * CHOOSE(CONTROL!$C$9, $C$13, 100%, $E$13) + CHOOSE(CONTROL!$C$28, 0.0294, 0)</f>
        <v>64.465400000000002</v>
      </c>
      <c r="D673" s="4">
        <f>63.9825 * CHOOSE(CONTROL!$C$9, $C$13, 100%, $E$13) + CHOOSE(CONTROL!$C$28, 0, 0)</f>
        <v>63.982500000000002</v>
      </c>
      <c r="E673" s="4">
        <f>365.434895504528 * CHOOSE(CONTROL!$C$9, $C$13, 100%, $E$13) + CHOOSE(CONTROL!$C$28, 0, 0)</f>
        <v>365.43489550452801</v>
      </c>
    </row>
    <row r="674" spans="1:5" ht="15">
      <c r="A674" s="13">
        <v>62397</v>
      </c>
      <c r="B674" s="4">
        <f>62.6595 * CHOOSE(CONTROL!$C$9, $C$13, 100%, $E$13) + CHOOSE(CONTROL!$C$28, 0.0003, 0)</f>
        <v>62.659800000000004</v>
      </c>
      <c r="C674" s="4">
        <f>62.347 * CHOOSE(CONTROL!$C$9, $C$13, 100%, $E$13) + CHOOSE(CONTROL!$C$28, 0.0003, 0)</f>
        <v>62.347300000000004</v>
      </c>
      <c r="D674" s="4">
        <f>63.1268 * CHOOSE(CONTROL!$C$9, $C$13, 100%, $E$13) + CHOOSE(CONTROL!$C$28, 0, 0)</f>
        <v>63.126800000000003</v>
      </c>
      <c r="E674" s="4">
        <f>353.29315356112 * CHOOSE(CONTROL!$C$9, $C$13, 100%, $E$13) + CHOOSE(CONTROL!$C$28, 0, 0)</f>
        <v>353.29315356111999</v>
      </c>
    </row>
    <row r="675" spans="1:5" ht="15">
      <c r="A675" s="13">
        <v>62427</v>
      </c>
      <c r="B675" s="4">
        <f>61.314 * CHOOSE(CONTROL!$C$9, $C$13, 100%, $E$13) + CHOOSE(CONTROL!$C$28, 0.0003, 0)</f>
        <v>61.314300000000003</v>
      </c>
      <c r="C675" s="4">
        <f>61.0015 * CHOOSE(CONTROL!$C$9, $C$13, 100%, $E$13) + CHOOSE(CONTROL!$C$28, 0.0003, 0)</f>
        <v>61.001800000000003</v>
      </c>
      <c r="D675" s="4">
        <f>62.8327 * CHOOSE(CONTROL!$C$9, $C$13, 100%, $E$13) + CHOOSE(CONTROL!$C$28, 0, 0)</f>
        <v>62.832700000000003</v>
      </c>
      <c r="E675" s="4">
        <f>345.472965061043 * CHOOSE(CONTROL!$C$9, $C$13, 100%, $E$13) + CHOOSE(CONTROL!$C$28, 0, 0)</f>
        <v>345.472965061043</v>
      </c>
    </row>
    <row r="676" spans="1:5" ht="15">
      <c r="A676" s="13">
        <v>62458</v>
      </c>
      <c r="B676" s="4">
        <f>60.3831 * CHOOSE(CONTROL!$C$9, $C$13, 100%, $E$13) + CHOOSE(CONTROL!$C$28, 0.0003, 0)</f>
        <v>60.383400000000002</v>
      </c>
      <c r="C676" s="4">
        <f>60.0706 * CHOOSE(CONTROL!$C$9, $C$13, 100%, $E$13) + CHOOSE(CONTROL!$C$28, 0.0003, 0)</f>
        <v>60.070900000000002</v>
      </c>
      <c r="D676" s="4">
        <f>60.6669 * CHOOSE(CONTROL!$C$9, $C$13, 100%, $E$13) + CHOOSE(CONTROL!$C$28, 0, 0)</f>
        <v>60.666899999999998</v>
      </c>
      <c r="E676" s="4">
        <f>340.062399860612 * CHOOSE(CONTROL!$C$9, $C$13, 100%, $E$13) + CHOOSE(CONTROL!$C$28, 0, 0)</f>
        <v>340.062399860612</v>
      </c>
    </row>
    <row r="677" spans="1:5" ht="15">
      <c r="A677" s="13">
        <v>62489</v>
      </c>
      <c r="B677" s="4">
        <f>58.8706 * CHOOSE(CONTROL!$C$9, $C$13, 100%, $E$13) + CHOOSE(CONTROL!$C$28, 0.0003, 0)</f>
        <v>58.870900000000006</v>
      </c>
      <c r="C677" s="4">
        <f>58.5581 * CHOOSE(CONTROL!$C$9, $C$13, 100%, $E$13) + CHOOSE(CONTROL!$C$28, 0.0003, 0)</f>
        <v>58.558400000000006</v>
      </c>
      <c r="D677" s="4">
        <f>58.6764 * CHOOSE(CONTROL!$C$9, $C$13, 100%, $E$13) + CHOOSE(CONTROL!$C$28, 0, 0)</f>
        <v>58.676400000000001</v>
      </c>
      <c r="E677" s="4">
        <f>330.310706107324 * CHOOSE(CONTROL!$C$9, $C$13, 100%, $E$13) + CHOOSE(CONTROL!$C$28, 0, 0)</f>
        <v>330.31070610732399</v>
      </c>
    </row>
    <row r="678" spans="1:5" ht="15">
      <c r="A678" s="13">
        <v>62517</v>
      </c>
      <c r="B678" s="4">
        <f>60.2239 * CHOOSE(CONTROL!$C$9, $C$13, 100%, $E$13) + CHOOSE(CONTROL!$C$28, 0.0003, 0)</f>
        <v>60.224200000000003</v>
      </c>
      <c r="C678" s="4">
        <f>59.9114 * CHOOSE(CONTROL!$C$9, $C$13, 100%, $E$13) + CHOOSE(CONTROL!$C$28, 0.0003, 0)</f>
        <v>59.911700000000003</v>
      </c>
      <c r="D678" s="4">
        <f>60.6808 * CHOOSE(CONTROL!$C$9, $C$13, 100%, $E$13) + CHOOSE(CONTROL!$C$28, 0, 0)</f>
        <v>60.680799999999998</v>
      </c>
      <c r="E678" s="4">
        <f>338.153583994892 * CHOOSE(CONTROL!$C$9, $C$13, 100%, $E$13) + CHOOSE(CONTROL!$C$28, 0, 0)</f>
        <v>338.15358399489202</v>
      </c>
    </row>
    <row r="679" spans="1:5" ht="15">
      <c r="A679" s="13">
        <v>62548</v>
      </c>
      <c r="B679" s="4">
        <f>63.7778 * CHOOSE(CONTROL!$C$9, $C$13, 100%, $E$13) + CHOOSE(CONTROL!$C$28, 0.0003, 0)</f>
        <v>63.778100000000002</v>
      </c>
      <c r="C679" s="4">
        <f>63.4653 * CHOOSE(CONTROL!$C$9, $C$13, 100%, $E$13) + CHOOSE(CONTROL!$C$28, 0.0003, 0)</f>
        <v>63.465600000000002</v>
      </c>
      <c r="D679" s="4">
        <f>63.8187 * CHOOSE(CONTROL!$C$9, $C$13, 100%, $E$13) + CHOOSE(CONTROL!$C$28, 0, 0)</f>
        <v>63.8187</v>
      </c>
      <c r="E679" s="4">
        <f>358.749398123489 * CHOOSE(CONTROL!$C$9, $C$13, 100%, $E$13) + CHOOSE(CONTROL!$C$28, 0, 0)</f>
        <v>358.74939812348902</v>
      </c>
    </row>
    <row r="680" spans="1:5" ht="15">
      <c r="A680" s="13">
        <v>62578</v>
      </c>
      <c r="B680" s="4">
        <f>66.3028 * CHOOSE(CONTROL!$C$9, $C$13, 100%, $E$13) + CHOOSE(CONTROL!$C$28, 0.0003, 0)</f>
        <v>66.303100000000001</v>
      </c>
      <c r="C680" s="4">
        <f>65.9903 * CHOOSE(CONTROL!$C$9, $C$13, 100%, $E$13) + CHOOSE(CONTROL!$C$28, 0.0003, 0)</f>
        <v>65.990600000000001</v>
      </c>
      <c r="D680" s="4">
        <f>65.6262 * CHOOSE(CONTROL!$C$9, $C$13, 100%, $E$13) + CHOOSE(CONTROL!$C$28, 0, 0)</f>
        <v>65.626199999999997</v>
      </c>
      <c r="E680" s="4">
        <f>373.382998537169 * CHOOSE(CONTROL!$C$9, $C$13, 100%, $E$13) + CHOOSE(CONTROL!$C$28, 0, 0)</f>
        <v>373.38299853716899</v>
      </c>
    </row>
    <row r="681" spans="1:5" ht="15">
      <c r="A681" s="13">
        <v>62609</v>
      </c>
      <c r="B681" s="4">
        <f>67.8456 * CHOOSE(CONTROL!$C$9, $C$13, 100%, $E$13) + CHOOSE(CONTROL!$C$28, 0.0294, 0)</f>
        <v>67.875</v>
      </c>
      <c r="C681" s="4">
        <f>67.5331 * CHOOSE(CONTROL!$C$9, $C$13, 100%, $E$13) + CHOOSE(CONTROL!$C$28, 0.0294, 0)</f>
        <v>67.5625</v>
      </c>
      <c r="D681" s="4">
        <f>64.912 * CHOOSE(CONTROL!$C$9, $C$13, 100%, $E$13) + CHOOSE(CONTROL!$C$28, 0, 0)</f>
        <v>64.912000000000006</v>
      </c>
      <c r="E681" s="4">
        <f>382.323777671474 * CHOOSE(CONTROL!$C$9, $C$13, 100%, $E$13) + CHOOSE(CONTROL!$C$28, 0, 0)</f>
        <v>382.32377767147398</v>
      </c>
    </row>
    <row r="682" spans="1:5" ht="15">
      <c r="A682" s="13">
        <v>62639</v>
      </c>
      <c r="B682" s="4">
        <f>68.0543 * CHOOSE(CONTROL!$C$9, $C$13, 100%, $E$13) + CHOOSE(CONTROL!$C$28, 0.0294, 0)</f>
        <v>68.083699999999993</v>
      </c>
      <c r="C682" s="4">
        <f>67.7418 * CHOOSE(CONTROL!$C$9, $C$13, 100%, $E$13) + CHOOSE(CONTROL!$C$28, 0.0294, 0)</f>
        <v>67.771199999999993</v>
      </c>
      <c r="D682" s="4">
        <f>65.4936 * CHOOSE(CONTROL!$C$9, $C$13, 100%, $E$13) + CHOOSE(CONTROL!$C$28, 0, 0)</f>
        <v>65.493600000000001</v>
      </c>
      <c r="E682" s="4">
        <f>383.533502193341 * CHOOSE(CONTROL!$C$9, $C$13, 100%, $E$13) + CHOOSE(CONTROL!$C$28, 0, 0)</f>
        <v>383.53350219334101</v>
      </c>
    </row>
    <row r="683" spans="1:5" ht="15">
      <c r="A683" s="13">
        <v>62670</v>
      </c>
      <c r="B683" s="4">
        <f>68.0332 * CHOOSE(CONTROL!$C$9, $C$13, 100%, $E$13) + CHOOSE(CONTROL!$C$28, 0.0294, 0)</f>
        <v>68.062599999999989</v>
      </c>
      <c r="C683" s="4">
        <f>67.7207 * CHOOSE(CONTROL!$C$9, $C$13, 100%, $E$13) + CHOOSE(CONTROL!$C$28, 0.0294, 0)</f>
        <v>67.750099999999989</v>
      </c>
      <c r="D683" s="4">
        <f>66.5432 * CHOOSE(CONTROL!$C$9, $C$13, 100%, $E$13) + CHOOSE(CONTROL!$C$28, 0, 0)</f>
        <v>66.543199999999999</v>
      </c>
      <c r="E683" s="4">
        <f>383.411513165926 * CHOOSE(CONTROL!$C$9, $C$13, 100%, $E$13) + CHOOSE(CONTROL!$C$28, 0, 0)</f>
        <v>383.41151316592601</v>
      </c>
    </row>
    <row r="684" spans="1:5" ht="15">
      <c r="A684" s="13">
        <v>62701</v>
      </c>
      <c r="B684" s="4">
        <f>69.6172 * CHOOSE(CONTROL!$C$9, $C$13, 100%, $E$13) + CHOOSE(CONTROL!$C$28, 0.0294, 0)</f>
        <v>69.646599999999992</v>
      </c>
      <c r="C684" s="4">
        <f>69.3047 * CHOOSE(CONTROL!$C$9, $C$13, 100%, $E$13) + CHOOSE(CONTROL!$C$28, 0.0294, 0)</f>
        <v>69.334099999999992</v>
      </c>
      <c r="D684" s="4">
        <f>65.8501 * CHOOSE(CONTROL!$C$9, $C$13, 100%, $E$13) + CHOOSE(CONTROL!$C$28, 0, 0)</f>
        <v>65.850099999999998</v>
      </c>
      <c r="E684" s="4">
        <f>392.591187478918 * CHOOSE(CONTROL!$C$9, $C$13, 100%, $E$13) + CHOOSE(CONTROL!$C$28, 0, 0)</f>
        <v>392.59118747891802</v>
      </c>
    </row>
    <row r="685" spans="1:5" ht="15">
      <c r="A685" s="13">
        <v>62731</v>
      </c>
      <c r="B685" s="4">
        <f>66.9176 * CHOOSE(CONTROL!$C$9, $C$13, 100%, $E$13) + CHOOSE(CONTROL!$C$28, 0.0294, 0)</f>
        <v>66.946999999999989</v>
      </c>
      <c r="C685" s="4">
        <f>66.6051 * CHOOSE(CONTROL!$C$9, $C$13, 100%, $E$13) + CHOOSE(CONTROL!$C$28, 0.0294, 0)</f>
        <v>66.634499999999989</v>
      </c>
      <c r="D685" s="4">
        <f>65.5226 * CHOOSE(CONTROL!$C$9, $C$13, 100%, $E$13) + CHOOSE(CONTROL!$C$28, 0, 0)</f>
        <v>65.522599999999997</v>
      </c>
      <c r="E685" s="4">
        <f>376.946094712921 * CHOOSE(CONTROL!$C$9, $C$13, 100%, $E$13) + CHOOSE(CONTROL!$C$28, 0, 0)</f>
        <v>376.94609471292102</v>
      </c>
    </row>
    <row r="686" spans="1:5" ht="15">
      <c r="A686" s="13">
        <v>62762</v>
      </c>
      <c r="B686" s="4">
        <f>64.7566 * CHOOSE(CONTROL!$C$9, $C$13, 100%, $E$13) + CHOOSE(CONTROL!$C$28, 0.0003, 0)</f>
        <v>64.756900000000002</v>
      </c>
      <c r="C686" s="4">
        <f>64.4441 * CHOOSE(CONTROL!$C$9, $C$13, 100%, $E$13) + CHOOSE(CONTROL!$C$28, 0.0003, 0)</f>
        <v>64.444400000000002</v>
      </c>
      <c r="D686" s="4">
        <f>64.6457 * CHOOSE(CONTROL!$C$9, $C$13, 100%, $E$13) + CHOOSE(CONTROL!$C$28, 0, 0)</f>
        <v>64.645700000000005</v>
      </c>
      <c r="E686" s="4">
        <f>364.421887898295 * CHOOSE(CONTROL!$C$9, $C$13, 100%, $E$13) + CHOOSE(CONTROL!$C$28, 0, 0)</f>
        <v>364.42188789829498</v>
      </c>
    </row>
    <row r="687" spans="1:5" ht="15">
      <c r="A687" s="13">
        <v>62792</v>
      </c>
      <c r="B687" s="4">
        <f>63.3647 * CHOOSE(CONTROL!$C$9, $C$13, 100%, $E$13) + CHOOSE(CONTROL!$C$28, 0.0003, 0)</f>
        <v>63.365000000000002</v>
      </c>
      <c r="C687" s="4">
        <f>63.0522 * CHOOSE(CONTROL!$C$9, $C$13, 100%, $E$13) + CHOOSE(CONTROL!$C$28, 0.0003, 0)</f>
        <v>63.052500000000002</v>
      </c>
      <c r="D687" s="4">
        <f>64.3442 * CHOOSE(CONTROL!$C$9, $C$13, 100%, $E$13) + CHOOSE(CONTROL!$C$28, 0, 0)</f>
        <v>64.344200000000001</v>
      </c>
      <c r="E687" s="4">
        <f>356.355363460466 * CHOOSE(CONTROL!$C$9, $C$13, 100%, $E$13) + CHOOSE(CONTROL!$C$28, 0, 0)</f>
        <v>356.35536346046598</v>
      </c>
    </row>
    <row r="688" spans="1:5" ht="15">
      <c r="A688" s="13">
        <v>62823</v>
      </c>
      <c r="B688" s="4">
        <f>62.4017 * CHOOSE(CONTROL!$C$9, $C$13, 100%, $E$13) + CHOOSE(CONTROL!$C$28, 0.0003, 0)</f>
        <v>62.402000000000001</v>
      </c>
      <c r="C688" s="4">
        <f>62.0892 * CHOOSE(CONTROL!$C$9, $C$13, 100%, $E$13) + CHOOSE(CONTROL!$C$28, 0.0003, 0)</f>
        <v>62.089500000000001</v>
      </c>
      <c r="D688" s="4">
        <f>62.1247 * CHOOSE(CONTROL!$C$9, $C$13, 100%, $E$13) + CHOOSE(CONTROL!$C$28, 0, 0)</f>
        <v>62.124699999999997</v>
      </c>
      <c r="E688" s="4">
        <f>350.774365456222 * CHOOSE(CONTROL!$C$9, $C$13, 100%, $E$13) + CHOOSE(CONTROL!$C$28, 0, 0)</f>
        <v>350.77436545622197</v>
      </c>
    </row>
    <row r="689" spans="1:5" ht="15">
      <c r="A689" s="13">
        <v>62854</v>
      </c>
      <c r="B689" s="4">
        <f>60.837 * CHOOSE(CONTROL!$C$9, $C$13, 100%, $E$13) + CHOOSE(CONTROL!$C$28, 0.0003, 0)</f>
        <v>60.837300000000006</v>
      </c>
      <c r="C689" s="4">
        <f>60.5245 * CHOOSE(CONTROL!$C$9, $C$13, 100%, $E$13) + CHOOSE(CONTROL!$C$28, 0.0003, 0)</f>
        <v>60.524800000000006</v>
      </c>
      <c r="D689" s="4">
        <f>60.0849 * CHOOSE(CONTROL!$C$9, $C$13, 100%, $E$13) + CHOOSE(CONTROL!$C$28, 0, 0)</f>
        <v>60.084899999999998</v>
      </c>
      <c r="E689" s="4">
        <f>340.715493349705 * CHOOSE(CONTROL!$C$9, $C$13, 100%, $E$13) + CHOOSE(CONTROL!$C$28, 0, 0)</f>
        <v>340.71549334970501</v>
      </c>
    </row>
    <row r="690" spans="1:5" ht="15">
      <c r="A690" s="13">
        <v>62883</v>
      </c>
      <c r="B690" s="4">
        <f>62.237 * CHOOSE(CONTROL!$C$9, $C$13, 100%, $E$13) + CHOOSE(CONTROL!$C$28, 0.0003, 0)</f>
        <v>62.237300000000005</v>
      </c>
      <c r="C690" s="4">
        <f>61.9245 * CHOOSE(CONTROL!$C$9, $C$13, 100%, $E$13) + CHOOSE(CONTROL!$C$28, 0.0003, 0)</f>
        <v>61.924800000000005</v>
      </c>
      <c r="D690" s="4">
        <f>62.139 * CHOOSE(CONTROL!$C$9, $C$13, 100%, $E$13) + CHOOSE(CONTROL!$C$28, 0, 0)</f>
        <v>62.139000000000003</v>
      </c>
      <c r="E690" s="4">
        <f>348.805421890731 * CHOOSE(CONTROL!$C$9, $C$13, 100%, $E$13) + CHOOSE(CONTROL!$C$28, 0, 0)</f>
        <v>348.805421890731</v>
      </c>
    </row>
    <row r="691" spans="1:5" ht="15">
      <c r="A691" s="13">
        <v>62914</v>
      </c>
      <c r="B691" s="4">
        <f>65.9134 * CHOOSE(CONTROL!$C$9, $C$13, 100%, $E$13) + CHOOSE(CONTROL!$C$28, 0.0003, 0)</f>
        <v>65.913699999999992</v>
      </c>
      <c r="C691" s="4">
        <f>65.6009 * CHOOSE(CONTROL!$C$9, $C$13, 100%, $E$13) + CHOOSE(CONTROL!$C$28, 0.0003, 0)</f>
        <v>65.601199999999992</v>
      </c>
      <c r="D691" s="4">
        <f>65.3547 * CHOOSE(CONTROL!$C$9, $C$13, 100%, $E$13) + CHOOSE(CONTROL!$C$28, 0, 0)</f>
        <v>65.354699999999994</v>
      </c>
      <c r="E691" s="4">
        <f>370.050004164379 * CHOOSE(CONTROL!$C$9, $C$13, 100%, $E$13) + CHOOSE(CONTROL!$C$28, 0, 0)</f>
        <v>370.050004164379</v>
      </c>
    </row>
    <row r="692" spans="1:5" ht="15">
      <c r="A692" s="13">
        <v>62944</v>
      </c>
      <c r="B692" s="4">
        <f>68.5256 * CHOOSE(CONTROL!$C$9, $C$13, 100%, $E$13) + CHOOSE(CONTROL!$C$28, 0.0003, 0)</f>
        <v>68.525899999999993</v>
      </c>
      <c r="C692" s="4">
        <f>68.2131 * CHOOSE(CONTROL!$C$9, $C$13, 100%, $E$13) + CHOOSE(CONTROL!$C$28, 0.0003, 0)</f>
        <v>68.213399999999993</v>
      </c>
      <c r="D692" s="4">
        <f>67.207 * CHOOSE(CONTROL!$C$9, $C$13, 100%, $E$13) + CHOOSE(CONTROL!$C$28, 0, 0)</f>
        <v>67.206999999999994</v>
      </c>
      <c r="E692" s="4">
        <f>385.14456299109 * CHOOSE(CONTROL!$C$9, $C$13, 100%, $E$13) + CHOOSE(CONTROL!$C$28, 0, 0)</f>
        <v>385.14456299109003</v>
      </c>
    </row>
    <row r="693" spans="1:5" ht="15">
      <c r="A693" s="13">
        <v>62975</v>
      </c>
      <c r="B693" s="4">
        <f>70.1215 * CHOOSE(CONTROL!$C$9, $C$13, 100%, $E$13) + CHOOSE(CONTROL!$C$28, 0.0294, 0)</f>
        <v>70.150899999999993</v>
      </c>
      <c r="C693" s="4">
        <f>69.809 * CHOOSE(CONTROL!$C$9, $C$13, 100%, $E$13) + CHOOSE(CONTROL!$C$28, 0.0294, 0)</f>
        <v>69.838399999999993</v>
      </c>
      <c r="D693" s="4">
        <f>66.4751 * CHOOSE(CONTROL!$C$9, $C$13, 100%, $E$13) + CHOOSE(CONTROL!$C$28, 0, 0)</f>
        <v>66.475099999999998</v>
      </c>
      <c r="E693" s="4">
        <f>394.366976668125 * CHOOSE(CONTROL!$C$9, $C$13, 100%, $E$13) + CHOOSE(CONTROL!$C$28, 0, 0)</f>
        <v>394.36697666812501</v>
      </c>
    </row>
    <row r="694" spans="1:5" ht="15">
      <c r="A694" s="13">
        <v>63005</v>
      </c>
      <c r="B694" s="4">
        <f>70.3375 * CHOOSE(CONTROL!$C$9, $C$13, 100%, $E$13) + CHOOSE(CONTROL!$C$28, 0.0294, 0)</f>
        <v>70.366900000000001</v>
      </c>
      <c r="C694" s="4">
        <f>70.025 * CHOOSE(CONTROL!$C$9, $C$13, 100%, $E$13) + CHOOSE(CONTROL!$C$28, 0.0294, 0)</f>
        <v>70.054400000000001</v>
      </c>
      <c r="D694" s="4">
        <f>67.0712 * CHOOSE(CONTROL!$C$9, $C$13, 100%, $E$13) + CHOOSE(CONTROL!$C$28, 0, 0)</f>
        <v>67.071200000000005</v>
      </c>
      <c r="E694" s="4">
        <f>395.614807512431 * CHOOSE(CONTROL!$C$9, $C$13, 100%, $E$13) + CHOOSE(CONTROL!$C$28, 0, 0)</f>
        <v>395.61480751243101</v>
      </c>
    </row>
    <row r="695" spans="1:5" ht="15">
      <c r="A695" s="13">
        <v>63036</v>
      </c>
      <c r="B695" s="4">
        <f>70.3157 * CHOOSE(CONTROL!$C$9, $C$13, 100%, $E$13) + CHOOSE(CONTROL!$C$28, 0.0294, 0)</f>
        <v>70.345100000000002</v>
      </c>
      <c r="C695" s="4">
        <f>70.0032 * CHOOSE(CONTROL!$C$9, $C$13, 100%, $E$13) + CHOOSE(CONTROL!$C$28, 0.0294, 0)</f>
        <v>70.032600000000002</v>
      </c>
      <c r="D695" s="4">
        <f>68.1468 * CHOOSE(CONTROL!$C$9, $C$13, 100%, $E$13) + CHOOSE(CONTROL!$C$28, 0, 0)</f>
        <v>68.146799999999999</v>
      </c>
      <c r="E695" s="4">
        <f>395.488975830653 * CHOOSE(CONTROL!$C$9, $C$13, 100%, $E$13) + CHOOSE(CONTROL!$C$28, 0, 0)</f>
        <v>395.48897583065298</v>
      </c>
    </row>
    <row r="696" spans="1:5" ht="15">
      <c r="A696" s="13">
        <v>63067</v>
      </c>
      <c r="B696" s="4">
        <f>71.9543 * CHOOSE(CONTROL!$C$9, $C$13, 100%, $E$13) + CHOOSE(CONTROL!$C$28, 0.0294, 0)</f>
        <v>71.983699999999999</v>
      </c>
      <c r="C696" s="4">
        <f>71.6418 * CHOOSE(CONTROL!$C$9, $C$13, 100%, $E$13) + CHOOSE(CONTROL!$C$28, 0.0294, 0)</f>
        <v>71.671199999999999</v>
      </c>
      <c r="D696" s="4">
        <f>67.4365 * CHOOSE(CONTROL!$C$9, $C$13, 100%, $E$13) + CHOOSE(CONTROL!$C$28, 0, 0)</f>
        <v>67.436499999999995</v>
      </c>
      <c r="E696" s="4">
        <f>404.957809884504 * CHOOSE(CONTROL!$C$9, $C$13, 100%, $E$13) + CHOOSE(CONTROL!$C$28, 0, 0)</f>
        <v>404.957809884504</v>
      </c>
    </row>
    <row r="697" spans="1:5" ht="15">
      <c r="A697" s="13">
        <v>63097</v>
      </c>
      <c r="B697" s="4">
        <f>69.1616 * CHOOSE(CONTROL!$C$9, $C$13, 100%, $E$13) + CHOOSE(CONTROL!$C$28, 0.0294, 0)</f>
        <v>69.191000000000003</v>
      </c>
      <c r="C697" s="4">
        <f>68.8491 * CHOOSE(CONTROL!$C$9, $C$13, 100%, $E$13) + CHOOSE(CONTROL!$C$28, 0.0294, 0)</f>
        <v>68.878500000000003</v>
      </c>
      <c r="D697" s="4">
        <f>67.1009 * CHOOSE(CONTROL!$C$9, $C$13, 100%, $E$13) + CHOOSE(CONTROL!$C$28, 0, 0)</f>
        <v>67.100899999999996</v>
      </c>
      <c r="E697" s="4">
        <f>388.819896696378 * CHOOSE(CONTROL!$C$9, $C$13, 100%, $E$13) + CHOOSE(CONTROL!$C$28, 0, 0)</f>
        <v>388.81989669637801</v>
      </c>
    </row>
    <row r="698" spans="1:5" ht="15">
      <c r="A698" s="13">
        <v>63128</v>
      </c>
      <c r="B698" s="4">
        <f>66.926 * CHOOSE(CONTROL!$C$9, $C$13, 100%, $E$13) + CHOOSE(CONTROL!$C$28, 0.0003, 0)</f>
        <v>66.926299999999998</v>
      </c>
      <c r="C698" s="4">
        <f>66.6135 * CHOOSE(CONTROL!$C$9, $C$13, 100%, $E$13) + CHOOSE(CONTROL!$C$28, 0.0003, 0)</f>
        <v>66.613799999999998</v>
      </c>
      <c r="D698" s="4">
        <f>66.2022 * CHOOSE(CONTROL!$C$9, $C$13, 100%, $E$13) + CHOOSE(CONTROL!$C$28, 0, 0)</f>
        <v>66.202200000000005</v>
      </c>
      <c r="E698" s="4">
        <f>375.901177367092 * CHOOSE(CONTROL!$C$9, $C$13, 100%, $E$13) + CHOOSE(CONTROL!$C$28, 0, 0)</f>
        <v>375.90117736709198</v>
      </c>
    </row>
    <row r="699" spans="1:5" ht="15">
      <c r="A699" s="13">
        <v>63158</v>
      </c>
      <c r="B699" s="4">
        <f>65.4861 * CHOOSE(CONTROL!$C$9, $C$13, 100%, $E$13) + CHOOSE(CONTROL!$C$28, 0.0003, 0)</f>
        <v>65.486399999999989</v>
      </c>
      <c r="C699" s="4">
        <f>65.1736 * CHOOSE(CONTROL!$C$9, $C$13, 100%, $E$13) + CHOOSE(CONTROL!$C$28, 0.0003, 0)</f>
        <v>65.173899999999989</v>
      </c>
      <c r="D699" s="4">
        <f>65.8933 * CHOOSE(CONTROL!$C$9, $C$13, 100%, $E$13) + CHOOSE(CONTROL!$C$28, 0, 0)</f>
        <v>65.893299999999996</v>
      </c>
      <c r="E699" s="4">
        <f>367.580557409471 * CHOOSE(CONTROL!$C$9, $C$13, 100%, $E$13) + CHOOSE(CONTROL!$C$28, 0, 0)</f>
        <v>367.580557409471</v>
      </c>
    </row>
    <row r="700" spans="1:5" ht="15">
      <c r="A700" s="13">
        <v>63189</v>
      </c>
      <c r="B700" s="4">
        <f>64.4898 * CHOOSE(CONTROL!$C$9, $C$13, 100%, $E$13) + CHOOSE(CONTROL!$C$28, 0.0003, 0)</f>
        <v>64.490099999999998</v>
      </c>
      <c r="C700" s="4">
        <f>64.1773 * CHOOSE(CONTROL!$C$9, $C$13, 100%, $E$13) + CHOOSE(CONTROL!$C$28, 0.0003, 0)</f>
        <v>64.177599999999998</v>
      </c>
      <c r="D700" s="4">
        <f>63.6188 * CHOOSE(CONTROL!$C$9, $C$13, 100%, $E$13) + CHOOSE(CONTROL!$C$28, 0, 0)</f>
        <v>63.6188</v>
      </c>
      <c r="E700" s="4">
        <f>361.823757968093 * CHOOSE(CONTROL!$C$9, $C$13, 100%, $E$13) + CHOOSE(CONTROL!$C$28, 0, 0)</f>
        <v>361.82375796809299</v>
      </c>
    </row>
    <row r="701" spans="1:5" ht="15">
      <c r="A701" s="13">
        <v>63220</v>
      </c>
      <c r="B701" s="4">
        <f>62.8712 * CHOOSE(CONTROL!$C$9, $C$13, 100%, $E$13) + CHOOSE(CONTROL!$C$28, 0.0003, 0)</f>
        <v>62.871500000000005</v>
      </c>
      <c r="C701" s="4">
        <f>62.5587 * CHOOSE(CONTROL!$C$9, $C$13, 100%, $E$13) + CHOOSE(CONTROL!$C$28, 0.0003, 0)</f>
        <v>62.559000000000005</v>
      </c>
      <c r="D701" s="4">
        <f>61.5283 * CHOOSE(CONTROL!$C$9, $C$13, 100%, $E$13) + CHOOSE(CONTROL!$C$28, 0, 0)</f>
        <v>61.528300000000002</v>
      </c>
      <c r="E701" s="4">
        <f>351.448031390221 * CHOOSE(CONTROL!$C$9, $C$13, 100%, $E$13) + CHOOSE(CONTROL!$C$28, 0, 0)</f>
        <v>351.44803139022099</v>
      </c>
    </row>
    <row r="702" spans="1:5" ht="15">
      <c r="A702" s="13">
        <v>63248</v>
      </c>
      <c r="B702" s="4">
        <f>64.3194 * CHOOSE(CONTROL!$C$9, $C$13, 100%, $E$13) + CHOOSE(CONTROL!$C$28, 0.0003, 0)</f>
        <v>64.319699999999997</v>
      </c>
      <c r="C702" s="4">
        <f>64.0069 * CHOOSE(CONTROL!$C$9, $C$13, 100%, $E$13) + CHOOSE(CONTROL!$C$28, 0.0003, 0)</f>
        <v>64.007199999999997</v>
      </c>
      <c r="D702" s="4">
        <f>63.6334 * CHOOSE(CONTROL!$C$9, $C$13, 100%, $E$13) + CHOOSE(CONTROL!$C$28, 0, 0)</f>
        <v>63.633400000000002</v>
      </c>
      <c r="E702" s="4">
        <f>359.792792680289 * CHOOSE(CONTROL!$C$9, $C$13, 100%, $E$13) + CHOOSE(CONTROL!$C$28, 0, 0)</f>
        <v>359.79279268028898</v>
      </c>
    </row>
    <row r="703" spans="1:5" ht="15">
      <c r="A703" s="13">
        <v>63279</v>
      </c>
      <c r="B703" s="4">
        <f>68.1227 * CHOOSE(CONTROL!$C$9, $C$13, 100%, $E$13) + CHOOSE(CONTROL!$C$28, 0.0003, 0)</f>
        <v>68.12299999999999</v>
      </c>
      <c r="C703" s="4">
        <f>67.8102 * CHOOSE(CONTROL!$C$9, $C$13, 100%, $E$13) + CHOOSE(CONTROL!$C$28, 0.0003, 0)</f>
        <v>67.81049999999999</v>
      </c>
      <c r="D703" s="4">
        <f>66.9288 * CHOOSE(CONTROL!$C$9, $C$13, 100%, $E$13) + CHOOSE(CONTROL!$C$28, 0, 0)</f>
        <v>66.928799999999995</v>
      </c>
      <c r="E703" s="4">
        <f>381.706579295557 * CHOOSE(CONTROL!$C$9, $C$13, 100%, $E$13) + CHOOSE(CONTROL!$C$28, 0, 0)</f>
        <v>381.70657929555699</v>
      </c>
    </row>
    <row r="704" spans="1:5" ht="15">
      <c r="A704" s="13">
        <v>63309</v>
      </c>
      <c r="B704" s="4">
        <f>70.825 * CHOOSE(CONTROL!$C$9, $C$13, 100%, $E$13) + CHOOSE(CONTROL!$C$28, 0.0003, 0)</f>
        <v>70.825299999999999</v>
      </c>
      <c r="C704" s="4">
        <f>70.5125 * CHOOSE(CONTROL!$C$9, $C$13, 100%, $E$13) + CHOOSE(CONTROL!$C$28, 0.0003, 0)</f>
        <v>70.512799999999999</v>
      </c>
      <c r="D704" s="4">
        <f>68.8271 * CHOOSE(CONTROL!$C$9, $C$13, 100%, $E$13) + CHOOSE(CONTROL!$C$28, 0, 0)</f>
        <v>68.827100000000002</v>
      </c>
      <c r="E704" s="4">
        <f>397.276616725309 * CHOOSE(CONTROL!$C$9, $C$13, 100%, $E$13) + CHOOSE(CONTROL!$C$28, 0, 0)</f>
        <v>397.276616725309</v>
      </c>
    </row>
    <row r="705" spans="1:5" ht="15">
      <c r="A705" s="13">
        <v>63340</v>
      </c>
      <c r="B705" s="4">
        <f>72.476 * CHOOSE(CONTROL!$C$9, $C$13, 100%, $E$13) + CHOOSE(CONTROL!$C$28, 0.0294, 0)</f>
        <v>72.505399999999995</v>
      </c>
      <c r="C705" s="4">
        <f>72.1635 * CHOOSE(CONTROL!$C$9, $C$13, 100%, $E$13) + CHOOSE(CONTROL!$C$28, 0.0294, 0)</f>
        <v>72.192899999999995</v>
      </c>
      <c r="D705" s="4">
        <f>68.077 * CHOOSE(CONTROL!$C$9, $C$13, 100%, $E$13) + CHOOSE(CONTROL!$C$28, 0, 0)</f>
        <v>68.076999999999998</v>
      </c>
      <c r="E705" s="4">
        <f>406.789536433171 * CHOOSE(CONTROL!$C$9, $C$13, 100%, $E$13) + CHOOSE(CONTROL!$C$28, 0, 0)</f>
        <v>406.78953643317101</v>
      </c>
    </row>
    <row r="706" spans="1:5" ht="15">
      <c r="A706" s="13">
        <v>63370</v>
      </c>
      <c r="B706" s="4">
        <f>72.6994 * CHOOSE(CONTROL!$C$9, $C$13, 100%, $E$13) + CHOOSE(CONTROL!$C$28, 0.0294, 0)</f>
        <v>72.728799999999993</v>
      </c>
      <c r="C706" s="4">
        <f>72.3869 * CHOOSE(CONTROL!$C$9, $C$13, 100%, $E$13) + CHOOSE(CONTROL!$C$28, 0.0294, 0)</f>
        <v>72.416299999999993</v>
      </c>
      <c r="D706" s="4">
        <f>68.6879 * CHOOSE(CONTROL!$C$9, $C$13, 100%, $E$13) + CHOOSE(CONTROL!$C$28, 0, 0)</f>
        <v>68.687899999999999</v>
      </c>
      <c r="E706" s="4">
        <f>408.076673949073 * CHOOSE(CONTROL!$C$9, $C$13, 100%, $E$13) + CHOOSE(CONTROL!$C$28, 0, 0)</f>
        <v>408.07667394907298</v>
      </c>
    </row>
    <row r="707" spans="1:5" ht="15">
      <c r="A707" s="13">
        <v>63401</v>
      </c>
      <c r="B707" s="4">
        <f>72.6769 * CHOOSE(CONTROL!$C$9, $C$13, 100%, $E$13) + CHOOSE(CONTROL!$C$28, 0.0294, 0)</f>
        <v>72.706299999999999</v>
      </c>
      <c r="C707" s="4">
        <f>72.3644 * CHOOSE(CONTROL!$C$9, $C$13, 100%, $E$13) + CHOOSE(CONTROL!$C$28, 0.0294, 0)</f>
        <v>72.393799999999999</v>
      </c>
      <c r="D707" s="4">
        <f>69.7902 * CHOOSE(CONTROL!$C$9, $C$13, 100%, $E$13) + CHOOSE(CONTROL!$C$28, 0, 0)</f>
        <v>69.790199999999999</v>
      </c>
      <c r="E707" s="4">
        <f>407.946878569318 * CHOOSE(CONTROL!$C$9, $C$13, 100%, $E$13) + CHOOSE(CONTROL!$C$28, 0, 0)</f>
        <v>407.94687856931802</v>
      </c>
    </row>
    <row r="708" spans="1:5" ht="15">
      <c r="A708" s="13">
        <v>63432</v>
      </c>
      <c r="B708" s="4">
        <f>74.3721 * CHOOSE(CONTROL!$C$9, $C$13, 100%, $E$13) + CHOOSE(CONTROL!$C$28, 0.0294, 0)</f>
        <v>74.401499999999999</v>
      </c>
      <c r="C708" s="4">
        <f>74.0596 * CHOOSE(CONTROL!$C$9, $C$13, 100%, $E$13) + CHOOSE(CONTROL!$C$28, 0.0294, 0)</f>
        <v>74.088999999999999</v>
      </c>
      <c r="D708" s="4">
        <f>69.0622 * CHOOSE(CONTROL!$C$9, $C$13, 100%, $E$13) + CHOOSE(CONTROL!$C$28, 0, 0)</f>
        <v>69.062200000000004</v>
      </c>
      <c r="E708" s="4">
        <f>417.713980895866 * CHOOSE(CONTROL!$C$9, $C$13, 100%, $E$13) + CHOOSE(CONTROL!$C$28, 0, 0)</f>
        <v>417.71398089586597</v>
      </c>
    </row>
    <row r="709" spans="1:5" ht="15">
      <c r="A709" s="13">
        <v>63462</v>
      </c>
      <c r="B709" s="4">
        <f>71.483 * CHOOSE(CONTROL!$C$9, $C$13, 100%, $E$13) + CHOOSE(CONTROL!$C$28, 0.0294, 0)</f>
        <v>71.5124</v>
      </c>
      <c r="C709" s="4">
        <f>71.1705 * CHOOSE(CONTROL!$C$9, $C$13, 100%, $E$13) + CHOOSE(CONTROL!$C$28, 0.0294, 0)</f>
        <v>71.1999</v>
      </c>
      <c r="D709" s="4">
        <f>68.7183 * CHOOSE(CONTROL!$C$9, $C$13, 100%, $E$13) + CHOOSE(CONTROL!$C$28, 0, 0)</f>
        <v>68.718299999999999</v>
      </c>
      <c r="E709" s="4">
        <f>401.067723442314 * CHOOSE(CONTROL!$C$9, $C$13, 100%, $E$13) + CHOOSE(CONTROL!$C$28, 0, 0)</f>
        <v>401.06772344231399</v>
      </c>
    </row>
    <row r="710" spans="1:5" ht="15">
      <c r="A710" s="13">
        <v>63493</v>
      </c>
      <c r="B710" s="4">
        <f>69.1702 * CHOOSE(CONTROL!$C$9, $C$13, 100%, $E$13) + CHOOSE(CONTROL!$C$28, 0.0003, 0)</f>
        <v>69.17049999999999</v>
      </c>
      <c r="C710" s="4">
        <f>68.8577 * CHOOSE(CONTROL!$C$9, $C$13, 100%, $E$13) + CHOOSE(CONTROL!$C$28, 0.0003, 0)</f>
        <v>68.85799999999999</v>
      </c>
      <c r="D710" s="4">
        <f>67.7973 * CHOOSE(CONTROL!$C$9, $C$13, 100%, $E$13) + CHOOSE(CONTROL!$C$28, 0, 0)</f>
        <v>67.797300000000007</v>
      </c>
      <c r="E710" s="4">
        <f>387.742064454155 * CHOOSE(CONTROL!$C$9, $C$13, 100%, $E$13) + CHOOSE(CONTROL!$C$28, 0, 0)</f>
        <v>387.74206445415501</v>
      </c>
    </row>
    <row r="711" spans="1:5" ht="15">
      <c r="A711" s="13">
        <v>63523</v>
      </c>
      <c r="B711" s="4">
        <f>67.6806 * CHOOSE(CONTROL!$C$9, $C$13, 100%, $E$13) + CHOOSE(CONTROL!$C$28, 0.0003, 0)</f>
        <v>67.680899999999994</v>
      </c>
      <c r="C711" s="4">
        <f>67.3681 * CHOOSE(CONTROL!$C$9, $C$13, 100%, $E$13) + CHOOSE(CONTROL!$C$28, 0.0003, 0)</f>
        <v>67.368399999999994</v>
      </c>
      <c r="D711" s="4">
        <f>67.4807 * CHOOSE(CONTROL!$C$9, $C$13, 100%, $E$13) + CHOOSE(CONTROL!$C$28, 0, 0)</f>
        <v>67.480699999999999</v>
      </c>
      <c r="E711" s="4">
        <f>379.159344967869 * CHOOSE(CONTROL!$C$9, $C$13, 100%, $E$13) + CHOOSE(CONTROL!$C$28, 0, 0)</f>
        <v>379.159344967869</v>
      </c>
    </row>
    <row r="712" spans="1:5" ht="15">
      <c r="A712" s="13">
        <v>63554</v>
      </c>
      <c r="B712" s="4">
        <f>66.65 * CHOOSE(CONTROL!$C$9, $C$13, 100%, $E$13) + CHOOSE(CONTROL!$C$28, 0.0003, 0)</f>
        <v>66.650300000000001</v>
      </c>
      <c r="C712" s="4">
        <f>66.3375 * CHOOSE(CONTROL!$C$9, $C$13, 100%, $E$13) + CHOOSE(CONTROL!$C$28, 0.0003, 0)</f>
        <v>66.337800000000001</v>
      </c>
      <c r="D712" s="4">
        <f>65.1498 * CHOOSE(CONTROL!$C$9, $C$13, 100%, $E$13) + CHOOSE(CONTROL!$C$28, 0, 0)</f>
        <v>65.149799999999999</v>
      </c>
      <c r="E712" s="4">
        <f>373.221206344088 * CHOOSE(CONTROL!$C$9, $C$13, 100%, $E$13) + CHOOSE(CONTROL!$C$28, 0, 0)</f>
        <v>373.22120634408799</v>
      </c>
    </row>
    <row r="713" spans="1:5" ht="15">
      <c r="A713" s="13">
        <v>63585</v>
      </c>
      <c r="B713" s="4">
        <f>64.9755 * CHOOSE(CONTROL!$C$9, $C$13, 100%, $E$13) + CHOOSE(CONTROL!$C$28, 0.0003, 0)</f>
        <v>64.975799999999992</v>
      </c>
      <c r="C713" s="4">
        <f>64.663 * CHOOSE(CONTROL!$C$9, $C$13, 100%, $E$13) + CHOOSE(CONTROL!$C$28, 0.0003, 0)</f>
        <v>64.663299999999992</v>
      </c>
      <c r="D713" s="4">
        <f>63.0075 * CHOOSE(CONTROL!$C$9, $C$13, 100%, $E$13) + CHOOSE(CONTROL!$C$28, 0, 0)</f>
        <v>63.0075</v>
      </c>
      <c r="E713" s="4">
        <f>362.518644379013 * CHOOSE(CONTROL!$C$9, $C$13, 100%, $E$13) + CHOOSE(CONTROL!$C$28, 0, 0)</f>
        <v>362.51864437901298</v>
      </c>
    </row>
    <row r="714" spans="1:5" ht="15">
      <c r="A714" s="13">
        <v>63613</v>
      </c>
      <c r="B714" s="4">
        <f>66.4738 * CHOOSE(CONTROL!$C$9, $C$13, 100%, $E$13) + CHOOSE(CONTROL!$C$28, 0.0003, 0)</f>
        <v>66.474099999999993</v>
      </c>
      <c r="C714" s="4">
        <f>66.1613 * CHOOSE(CONTROL!$C$9, $C$13, 100%, $E$13) + CHOOSE(CONTROL!$C$28, 0.0003, 0)</f>
        <v>66.161599999999993</v>
      </c>
      <c r="D714" s="4">
        <f>65.1648 * CHOOSE(CONTROL!$C$9, $C$13, 100%, $E$13) + CHOOSE(CONTROL!$C$28, 0, 0)</f>
        <v>65.1648</v>
      </c>
      <c r="E714" s="4">
        <f>371.126265649719 * CHOOSE(CONTROL!$C$9, $C$13, 100%, $E$13) + CHOOSE(CONTROL!$C$28, 0, 0)</f>
        <v>371.12626564971902</v>
      </c>
    </row>
    <row r="715" spans="1:5" ht="15">
      <c r="A715" s="13">
        <v>63644</v>
      </c>
      <c r="B715" s="4">
        <f>70.4083 * CHOOSE(CONTROL!$C$9, $C$13, 100%, $E$13) + CHOOSE(CONTROL!$C$28, 0.0003, 0)</f>
        <v>70.408599999999993</v>
      </c>
      <c r="C715" s="4">
        <f>70.0958 * CHOOSE(CONTROL!$C$9, $C$13, 100%, $E$13) + CHOOSE(CONTROL!$C$28, 0.0003, 0)</f>
        <v>70.096099999999993</v>
      </c>
      <c r="D715" s="4">
        <f>68.542 * CHOOSE(CONTROL!$C$9, $C$13, 100%, $E$13) + CHOOSE(CONTROL!$C$28, 0, 0)</f>
        <v>68.542000000000002</v>
      </c>
      <c r="E715" s="4">
        <f>393.730336543367 * CHOOSE(CONTROL!$C$9, $C$13, 100%, $E$13) + CHOOSE(CONTROL!$C$28, 0, 0)</f>
        <v>393.730336543367</v>
      </c>
    </row>
    <row r="716" spans="1:5" ht="15">
      <c r="A716" s="13">
        <v>63674</v>
      </c>
      <c r="B716" s="4">
        <f>73.2038 * CHOOSE(CONTROL!$C$9, $C$13, 100%, $E$13) + CHOOSE(CONTROL!$C$28, 0.0003, 0)</f>
        <v>73.204099999999997</v>
      </c>
      <c r="C716" s="4">
        <f>72.8913 * CHOOSE(CONTROL!$C$9, $C$13, 100%, $E$13) + CHOOSE(CONTROL!$C$28, 0.0003, 0)</f>
        <v>72.891599999999997</v>
      </c>
      <c r="D716" s="4">
        <f>70.4873 * CHOOSE(CONTROL!$C$9, $C$13, 100%, $E$13) + CHOOSE(CONTROL!$C$28, 0, 0)</f>
        <v>70.487300000000005</v>
      </c>
      <c r="E716" s="4">
        <f>409.790830152157 * CHOOSE(CONTROL!$C$9, $C$13, 100%, $E$13) + CHOOSE(CONTROL!$C$28, 0, 0)</f>
        <v>409.79083015215701</v>
      </c>
    </row>
    <row r="717" spans="1:5" ht="15">
      <c r="A717" s="13">
        <v>63705</v>
      </c>
      <c r="B717" s="4">
        <f>74.9118 * CHOOSE(CONTROL!$C$9, $C$13, 100%, $E$13) + CHOOSE(CONTROL!$C$28, 0.0294, 0)</f>
        <v>74.941199999999995</v>
      </c>
      <c r="C717" s="4">
        <f>74.5993 * CHOOSE(CONTROL!$C$9, $C$13, 100%, $E$13) + CHOOSE(CONTROL!$C$28, 0.0294, 0)</f>
        <v>74.628699999999995</v>
      </c>
      <c r="D717" s="4">
        <f>69.7186 * CHOOSE(CONTROL!$C$9, $C$13, 100%, $E$13) + CHOOSE(CONTROL!$C$28, 0, 0)</f>
        <v>69.718599999999995</v>
      </c>
      <c r="E717" s="4">
        <f>419.603406830816 * CHOOSE(CONTROL!$C$9, $C$13, 100%, $E$13) + CHOOSE(CONTROL!$C$28, 0, 0)</f>
        <v>419.60340683081603</v>
      </c>
    </row>
    <row r="718" spans="1:5" ht="15">
      <c r="A718" s="13">
        <v>63735</v>
      </c>
      <c r="B718" s="4">
        <f>75.1429 * CHOOSE(CONTROL!$C$9, $C$13, 100%, $E$13) + CHOOSE(CONTROL!$C$28, 0.0294, 0)</f>
        <v>75.172299999999993</v>
      </c>
      <c r="C718" s="4">
        <f>74.8304 * CHOOSE(CONTROL!$C$9, $C$13, 100%, $E$13) + CHOOSE(CONTROL!$C$28, 0.0294, 0)</f>
        <v>74.859799999999993</v>
      </c>
      <c r="D718" s="4">
        <f>70.3446 * CHOOSE(CONTROL!$C$9, $C$13, 100%, $E$13) + CHOOSE(CONTROL!$C$28, 0, 0)</f>
        <v>70.3446</v>
      </c>
      <c r="E718" s="4">
        <f>420.931089178469 * CHOOSE(CONTROL!$C$9, $C$13, 100%, $E$13) + CHOOSE(CONTROL!$C$28, 0, 0)</f>
        <v>420.93108917846899</v>
      </c>
    </row>
    <row r="719" spans="1:5" ht="15">
      <c r="A719" s="13">
        <v>63766</v>
      </c>
      <c r="B719" s="4">
        <f>75.1196 * CHOOSE(CONTROL!$C$9, $C$13, 100%, $E$13) + CHOOSE(CONTROL!$C$28, 0.0294, 0)</f>
        <v>75.149000000000001</v>
      </c>
      <c r="C719" s="4">
        <f>74.8071 * CHOOSE(CONTROL!$C$9, $C$13, 100%, $E$13) + CHOOSE(CONTROL!$C$28, 0.0294, 0)</f>
        <v>74.836500000000001</v>
      </c>
      <c r="D719" s="4">
        <f>71.4743 * CHOOSE(CONTROL!$C$9, $C$13, 100%, $E$13) + CHOOSE(CONTROL!$C$28, 0, 0)</f>
        <v>71.474299999999999</v>
      </c>
      <c r="E719" s="4">
        <f>420.797205244252 * CHOOSE(CONTROL!$C$9, $C$13, 100%, $E$13) + CHOOSE(CONTROL!$C$28, 0, 0)</f>
        <v>420.79720524425198</v>
      </c>
    </row>
    <row r="720" spans="1:5" ht="15">
      <c r="A720" s="13">
        <v>63797</v>
      </c>
      <c r="B720" s="4">
        <f>76.8732 * CHOOSE(CONTROL!$C$9, $C$13, 100%, $E$13) + CHOOSE(CONTROL!$C$28, 0.0294, 0)</f>
        <v>76.902599999999993</v>
      </c>
      <c r="C720" s="4">
        <f>76.5607 * CHOOSE(CONTROL!$C$9, $C$13, 100%, $E$13) + CHOOSE(CONTROL!$C$28, 0.0294, 0)</f>
        <v>76.590099999999993</v>
      </c>
      <c r="D720" s="4">
        <f>70.7283 * CHOOSE(CONTROL!$C$9, $C$13, 100%, $E$13) + CHOOSE(CONTROL!$C$28, 0, 0)</f>
        <v>70.728300000000004</v>
      </c>
      <c r="E720" s="4">
        <f>430.871971294086 * CHOOSE(CONTROL!$C$9, $C$13, 100%, $E$13) + CHOOSE(CONTROL!$C$28, 0, 0)</f>
        <v>430.87197129408599</v>
      </c>
    </row>
    <row r="721" spans="1:5" ht="15">
      <c r="A721" s="13">
        <v>63827</v>
      </c>
      <c r="B721" s="4">
        <f>73.8845 * CHOOSE(CONTROL!$C$9, $C$13, 100%, $E$13) + CHOOSE(CONTROL!$C$28, 0.0294, 0)</f>
        <v>73.913899999999998</v>
      </c>
      <c r="C721" s="4">
        <f>73.572 * CHOOSE(CONTROL!$C$9, $C$13, 100%, $E$13) + CHOOSE(CONTROL!$C$28, 0.0294, 0)</f>
        <v>73.601399999999998</v>
      </c>
      <c r="D721" s="4">
        <f>70.3758 * CHOOSE(CONTROL!$C$9, $C$13, 100%, $E$13) + CHOOSE(CONTROL!$C$28, 0, 0)</f>
        <v>70.375799999999998</v>
      </c>
      <c r="E721" s="4">
        <f>413.701356730747 * CHOOSE(CONTROL!$C$9, $C$13, 100%, $E$13) + CHOOSE(CONTROL!$C$28, 0, 0)</f>
        <v>413.70135673074702</v>
      </c>
    </row>
    <row r="722" spans="1:5" ht="15">
      <c r="A722" s="13">
        <v>63858</v>
      </c>
      <c r="B722" s="4">
        <f>71.4919 * CHOOSE(CONTROL!$C$9, $C$13, 100%, $E$13) + CHOOSE(CONTROL!$C$28, 0.0003, 0)</f>
        <v>71.492199999999997</v>
      </c>
      <c r="C722" s="4">
        <f>71.1794 * CHOOSE(CONTROL!$C$9, $C$13, 100%, $E$13) + CHOOSE(CONTROL!$C$28, 0.0003, 0)</f>
        <v>71.179699999999997</v>
      </c>
      <c r="D722" s="4">
        <f>69.432 * CHOOSE(CONTROL!$C$9, $C$13, 100%, $E$13) + CHOOSE(CONTROL!$C$28, 0, 0)</f>
        <v>69.432000000000002</v>
      </c>
      <c r="E722" s="4">
        <f>399.955939484461 * CHOOSE(CONTROL!$C$9, $C$13, 100%, $E$13) + CHOOSE(CONTROL!$C$28, 0, 0)</f>
        <v>399.955939484461</v>
      </c>
    </row>
    <row r="723" spans="1:5" ht="15">
      <c r="A723" s="13">
        <v>63888</v>
      </c>
      <c r="B723" s="4">
        <f>69.9509 * CHOOSE(CONTROL!$C$9, $C$13, 100%, $E$13) + CHOOSE(CONTROL!$C$28, 0.0003, 0)</f>
        <v>69.9512</v>
      </c>
      <c r="C723" s="4">
        <f>69.6384 * CHOOSE(CONTROL!$C$9, $C$13, 100%, $E$13) + CHOOSE(CONTROL!$C$28, 0.0003, 0)</f>
        <v>69.6387</v>
      </c>
      <c r="D723" s="4">
        <f>69.1076 * CHOOSE(CONTROL!$C$9, $C$13, 100%, $E$13) + CHOOSE(CONTROL!$C$28, 0, 0)</f>
        <v>69.107600000000005</v>
      </c>
      <c r="E723" s="4">
        <f>391.102864334357 * CHOOSE(CONTROL!$C$9, $C$13, 100%, $E$13) + CHOOSE(CONTROL!$C$28, 0, 0)</f>
        <v>391.10286433435698</v>
      </c>
    </row>
    <row r="724" spans="1:5" ht="15">
      <c r="A724" s="13">
        <v>63919</v>
      </c>
      <c r="B724" s="4">
        <f>68.8848 * CHOOSE(CONTROL!$C$9, $C$13, 100%, $E$13) + CHOOSE(CONTROL!$C$28, 0.0003, 0)</f>
        <v>68.885099999999994</v>
      </c>
      <c r="C724" s="4">
        <f>68.5723 * CHOOSE(CONTROL!$C$9, $C$13, 100%, $E$13) + CHOOSE(CONTROL!$C$28, 0.0003, 0)</f>
        <v>68.572599999999994</v>
      </c>
      <c r="D724" s="4">
        <f>66.7188 * CHOOSE(CONTROL!$C$9, $C$13, 100%, $E$13) + CHOOSE(CONTROL!$C$28, 0, 0)</f>
        <v>66.718800000000002</v>
      </c>
      <c r="E724" s="4">
        <f>384.977674343926 * CHOOSE(CONTROL!$C$9, $C$13, 100%, $E$13) + CHOOSE(CONTROL!$C$28, 0, 0)</f>
        <v>384.97767434392603</v>
      </c>
    </row>
    <row r="725" spans="1:5" ht="15">
      <c r="A725" s="13">
        <v>63950</v>
      </c>
      <c r="B725" s="4">
        <f>67.1525 * CHOOSE(CONTROL!$C$9, $C$13, 100%, $E$13) + CHOOSE(CONTROL!$C$28, 0.0003, 0)</f>
        <v>67.152799999999999</v>
      </c>
      <c r="C725" s="4">
        <f>66.84 * CHOOSE(CONTROL!$C$9, $C$13, 100%, $E$13) + CHOOSE(CONTROL!$C$28, 0.0003, 0)</f>
        <v>66.840299999999999</v>
      </c>
      <c r="D725" s="4">
        <f>64.5234 * CHOOSE(CONTROL!$C$9, $C$13, 100%, $E$13) + CHOOSE(CONTROL!$C$28, 0, 0)</f>
        <v>64.523399999999995</v>
      </c>
      <c r="E725" s="4">
        <f>373.937981676952 * CHOOSE(CONTROL!$C$9, $C$13, 100%, $E$13) + CHOOSE(CONTROL!$C$28, 0, 0)</f>
        <v>373.93798167695201</v>
      </c>
    </row>
    <row r="726" spans="1:5" ht="15">
      <c r="A726" s="13">
        <v>63978</v>
      </c>
      <c r="B726" s="4">
        <f>68.7024 * CHOOSE(CONTROL!$C$9, $C$13, 100%, $E$13) + CHOOSE(CONTROL!$C$28, 0.0003, 0)</f>
        <v>68.702699999999993</v>
      </c>
      <c r="C726" s="4">
        <f>68.3899 * CHOOSE(CONTROL!$C$9, $C$13, 100%, $E$13) + CHOOSE(CONTROL!$C$28, 0.0003, 0)</f>
        <v>68.390199999999993</v>
      </c>
      <c r="D726" s="4">
        <f>66.7342 * CHOOSE(CONTROL!$C$9, $C$13, 100%, $E$13) + CHOOSE(CONTROL!$C$28, 0, 0)</f>
        <v>66.734200000000001</v>
      </c>
      <c r="E726" s="4">
        <f>382.816743017685 * CHOOSE(CONTROL!$C$9, $C$13, 100%, $E$13) + CHOOSE(CONTROL!$C$28, 0, 0)</f>
        <v>382.81674301768498</v>
      </c>
    </row>
    <row r="727" spans="1:5" ht="15">
      <c r="A727" s="13">
        <v>64009</v>
      </c>
      <c r="B727" s="4">
        <f>72.7727 * CHOOSE(CONTROL!$C$9, $C$13, 100%, $E$13) + CHOOSE(CONTROL!$C$28, 0.0003, 0)</f>
        <v>72.772999999999996</v>
      </c>
      <c r="C727" s="4">
        <f>72.4602 * CHOOSE(CONTROL!$C$9, $C$13, 100%, $E$13) + CHOOSE(CONTROL!$C$28, 0.0003, 0)</f>
        <v>72.460499999999996</v>
      </c>
      <c r="D727" s="4">
        <f>70.1951 * CHOOSE(CONTROL!$C$9, $C$13, 100%, $E$13) + CHOOSE(CONTROL!$C$28, 0, 0)</f>
        <v>70.195099999999996</v>
      </c>
      <c r="E727" s="4">
        <f>406.132842144483 * CHOOSE(CONTROL!$C$9, $C$13, 100%, $E$13) + CHOOSE(CONTROL!$C$28, 0, 0)</f>
        <v>406.13284214448299</v>
      </c>
    </row>
    <row r="728" spans="1:5" ht="15">
      <c r="A728" s="13">
        <v>64039</v>
      </c>
      <c r="B728" s="4">
        <f>75.6646 * CHOOSE(CONTROL!$C$9, $C$13, 100%, $E$13) + CHOOSE(CONTROL!$C$28, 0.0003, 0)</f>
        <v>75.664899999999989</v>
      </c>
      <c r="C728" s="4">
        <f>75.3521 * CHOOSE(CONTROL!$C$9, $C$13, 100%, $E$13) + CHOOSE(CONTROL!$C$28, 0.0003, 0)</f>
        <v>75.352399999999989</v>
      </c>
      <c r="D728" s="4">
        <f>72.1887 * CHOOSE(CONTROL!$C$9, $C$13, 100%, $E$13) + CHOOSE(CONTROL!$C$28, 0, 0)</f>
        <v>72.188699999999997</v>
      </c>
      <c r="E728" s="4">
        <f>422.69924130195 * CHOOSE(CONTROL!$C$9, $C$13, 100%, $E$13) + CHOOSE(CONTROL!$C$28, 0, 0)</f>
        <v>422.69924130195</v>
      </c>
    </row>
    <row r="729" spans="1:5" ht="15">
      <c r="A729" s="13">
        <v>64070</v>
      </c>
      <c r="B729" s="4">
        <f>77.4316 * CHOOSE(CONTROL!$C$9, $C$13, 100%, $E$13) + CHOOSE(CONTROL!$C$28, 0.0294, 0)</f>
        <v>77.460999999999999</v>
      </c>
      <c r="C729" s="4">
        <f>77.1191 * CHOOSE(CONTROL!$C$9, $C$13, 100%, $E$13) + CHOOSE(CONTROL!$C$28, 0.0294, 0)</f>
        <v>77.148499999999999</v>
      </c>
      <c r="D729" s="4">
        <f>71.4009 * CHOOSE(CONTROL!$C$9, $C$13, 100%, $E$13) + CHOOSE(CONTROL!$C$28, 0, 0)</f>
        <v>71.400899999999993</v>
      </c>
      <c r="E729" s="4">
        <f>432.820914145987 * CHOOSE(CONTROL!$C$9, $C$13, 100%, $E$13) + CHOOSE(CONTROL!$C$28, 0, 0)</f>
        <v>432.82091414598699</v>
      </c>
    </row>
    <row r="730" spans="1:5" ht="15">
      <c r="A730" s="13">
        <v>64100</v>
      </c>
      <c r="B730" s="4">
        <f>77.6706 * CHOOSE(CONTROL!$C$9, $C$13, 100%, $E$13) + CHOOSE(CONTROL!$C$28, 0.0294, 0)</f>
        <v>77.699999999999989</v>
      </c>
      <c r="C730" s="4">
        <f>77.3581 * CHOOSE(CONTROL!$C$9, $C$13, 100%, $E$13) + CHOOSE(CONTROL!$C$28, 0.0294, 0)</f>
        <v>77.387499999999989</v>
      </c>
      <c r="D730" s="4">
        <f>72.0425 * CHOOSE(CONTROL!$C$9, $C$13, 100%, $E$13) + CHOOSE(CONTROL!$C$28, 0, 0)</f>
        <v>72.042500000000004</v>
      </c>
      <c r="E730" s="4">
        <f>434.19041848759 * CHOOSE(CONTROL!$C$9, $C$13, 100%, $E$13) + CHOOSE(CONTROL!$C$28, 0, 0)</f>
        <v>434.19041848759002</v>
      </c>
    </row>
    <row r="731" spans="1:5" ht="15">
      <c r="A731" s="13">
        <v>64131</v>
      </c>
      <c r="B731" s="4">
        <f>77.6465 * CHOOSE(CONTROL!$C$9, $C$13, 100%, $E$13) + CHOOSE(CONTROL!$C$28, 0.0294, 0)</f>
        <v>77.675899999999999</v>
      </c>
      <c r="C731" s="4">
        <f>77.334 * CHOOSE(CONTROL!$C$9, $C$13, 100%, $E$13) + CHOOSE(CONTROL!$C$28, 0.0294, 0)</f>
        <v>77.363399999999999</v>
      </c>
      <c r="D731" s="4">
        <f>73.2001 * CHOOSE(CONTROL!$C$9, $C$13, 100%, $E$13) + CHOOSE(CONTROL!$C$28, 0, 0)</f>
        <v>73.200100000000006</v>
      </c>
      <c r="E731" s="4">
        <f>434.052317209446 * CHOOSE(CONTROL!$C$9, $C$13, 100%, $E$13) + CHOOSE(CONTROL!$C$28, 0, 0)</f>
        <v>434.05231720944602</v>
      </c>
    </row>
    <row r="732" spans="1:5" ht="15">
      <c r="A732" s="13">
        <v>64162</v>
      </c>
      <c r="B732" s="4">
        <f>79.4606 * CHOOSE(CONTROL!$C$9, $C$13, 100%, $E$13) + CHOOSE(CONTROL!$C$28, 0.0294, 0)</f>
        <v>79.489999999999995</v>
      </c>
      <c r="C732" s="4">
        <f>79.1481 * CHOOSE(CONTROL!$C$9, $C$13, 100%, $E$13) + CHOOSE(CONTROL!$C$28, 0.0294, 0)</f>
        <v>79.177499999999995</v>
      </c>
      <c r="D732" s="4">
        <f>72.4356 * CHOOSE(CONTROL!$C$9, $C$13, 100%, $E$13) + CHOOSE(CONTROL!$C$28, 0, 0)</f>
        <v>72.435599999999994</v>
      </c>
      <c r="E732" s="4">
        <f>444.44443838985 * CHOOSE(CONTROL!$C$9, $C$13, 100%, $E$13) + CHOOSE(CONTROL!$C$28, 0, 0)</f>
        <v>444.44443838985001</v>
      </c>
    </row>
    <row r="733" spans="1:5" ht="15">
      <c r="A733" s="13">
        <v>64192</v>
      </c>
      <c r="B733" s="4">
        <f>76.3688 * CHOOSE(CONTROL!$C$9, $C$13, 100%, $E$13) + CHOOSE(CONTROL!$C$28, 0.0294, 0)</f>
        <v>76.398199999999989</v>
      </c>
      <c r="C733" s="4">
        <f>76.0563 * CHOOSE(CONTROL!$C$9, $C$13, 100%, $E$13) + CHOOSE(CONTROL!$C$28, 0.0294, 0)</f>
        <v>76.085699999999989</v>
      </c>
      <c r="D733" s="4">
        <f>72.0744 * CHOOSE(CONTROL!$C$9, $C$13, 100%, $E$13) + CHOOSE(CONTROL!$C$28, 0, 0)</f>
        <v>72.074399999999997</v>
      </c>
      <c r="E733" s="4">
        <f>426.732949467766 * CHOOSE(CONTROL!$C$9, $C$13, 100%, $E$13) + CHOOSE(CONTROL!$C$28, 0, 0)</f>
        <v>426.73294946776599</v>
      </c>
    </row>
    <row r="734" spans="1:5" ht="15">
      <c r="A734" s="13">
        <v>64223</v>
      </c>
      <c r="B734" s="4">
        <f>73.8937 * CHOOSE(CONTROL!$C$9, $C$13, 100%, $E$13) + CHOOSE(CONTROL!$C$28, 0.0003, 0)</f>
        <v>73.893999999999991</v>
      </c>
      <c r="C734" s="4">
        <f>73.5812 * CHOOSE(CONTROL!$C$9, $C$13, 100%, $E$13) + CHOOSE(CONTROL!$C$28, 0.0003, 0)</f>
        <v>73.581499999999991</v>
      </c>
      <c r="D734" s="4">
        <f>71.1072 * CHOOSE(CONTROL!$C$9, $C$13, 100%, $E$13) + CHOOSE(CONTROL!$C$28, 0, 0)</f>
        <v>71.107200000000006</v>
      </c>
      <c r="E734" s="4">
        <f>412.554551578222 * CHOOSE(CONTROL!$C$9, $C$13, 100%, $E$13) + CHOOSE(CONTROL!$C$28, 0, 0)</f>
        <v>412.554551578222</v>
      </c>
    </row>
    <row r="735" spans="1:5" ht="15">
      <c r="A735" s="13">
        <v>64253</v>
      </c>
      <c r="B735" s="4">
        <f>72.2996 * CHOOSE(CONTROL!$C$9, $C$13, 100%, $E$13) + CHOOSE(CONTROL!$C$28, 0.0003, 0)</f>
        <v>72.299899999999994</v>
      </c>
      <c r="C735" s="4">
        <f>71.9871 * CHOOSE(CONTROL!$C$9, $C$13, 100%, $E$13) + CHOOSE(CONTROL!$C$28, 0.0003, 0)</f>
        <v>71.987399999999994</v>
      </c>
      <c r="D735" s="4">
        <f>70.7747 * CHOOSE(CONTROL!$C$9, $C$13, 100%, $E$13) + CHOOSE(CONTROL!$C$28, 0, 0)</f>
        <v>70.774699999999996</v>
      </c>
      <c r="E735" s="4">
        <f>403.42260456089 * CHOOSE(CONTROL!$C$9, $C$13, 100%, $E$13) + CHOOSE(CONTROL!$C$28, 0, 0)</f>
        <v>403.42260456089002</v>
      </c>
    </row>
    <row r="736" spans="1:5" ht="15">
      <c r="A736" s="13">
        <v>64284</v>
      </c>
      <c r="B736" s="4">
        <f>71.1966 * CHOOSE(CONTROL!$C$9, $C$13, 100%, $E$13) + CHOOSE(CONTROL!$C$28, 0.0003, 0)</f>
        <v>71.196899999999999</v>
      </c>
      <c r="C736" s="4">
        <f>70.8841 * CHOOSE(CONTROL!$C$9, $C$13, 100%, $E$13) + CHOOSE(CONTROL!$C$28, 0.0003, 0)</f>
        <v>70.884399999999999</v>
      </c>
      <c r="D736" s="4">
        <f>68.3268 * CHOOSE(CONTROL!$C$9, $C$13, 100%, $E$13) + CHOOSE(CONTROL!$C$28, 0, 0)</f>
        <v>68.326800000000006</v>
      </c>
      <c r="E736" s="4">
        <f>397.10447108576 * CHOOSE(CONTROL!$C$9, $C$13, 100%, $E$13) + CHOOSE(CONTROL!$C$28, 0, 0)</f>
        <v>397.10447108576</v>
      </c>
    </row>
    <row r="737" spans="1:5" ht="15">
      <c r="A737" s="13">
        <v>64315</v>
      </c>
      <c r="B737" s="4">
        <f>69.4046 * CHOOSE(CONTROL!$C$9, $C$13, 100%, $E$13) + CHOOSE(CONTROL!$C$28, 0.0003, 0)</f>
        <v>69.404899999999998</v>
      </c>
      <c r="C737" s="4">
        <f>69.0921 * CHOOSE(CONTROL!$C$9, $C$13, 100%, $E$13) + CHOOSE(CONTROL!$C$28, 0.0003, 0)</f>
        <v>69.092399999999998</v>
      </c>
      <c r="D737" s="4">
        <f>66.0769 * CHOOSE(CONTROL!$C$9, $C$13, 100%, $E$13) + CHOOSE(CONTROL!$C$28, 0, 0)</f>
        <v>66.076899999999995</v>
      </c>
      <c r="E737" s="4">
        <f>385.717028099776 * CHOOSE(CONTROL!$C$9, $C$13, 100%, $E$13) + CHOOSE(CONTROL!$C$28, 0, 0)</f>
        <v>385.71702809977597</v>
      </c>
    </row>
    <row r="738" spans="1:5" ht="15">
      <c r="A738" s="13">
        <v>64344</v>
      </c>
      <c r="B738" s="4">
        <f>71.008 * CHOOSE(CONTROL!$C$9, $C$13, 100%, $E$13) + CHOOSE(CONTROL!$C$28, 0.0003, 0)</f>
        <v>71.008299999999991</v>
      </c>
      <c r="C738" s="4">
        <f>70.6955 * CHOOSE(CONTROL!$C$9, $C$13, 100%, $E$13) + CHOOSE(CONTROL!$C$28, 0.0003, 0)</f>
        <v>70.695799999999991</v>
      </c>
      <c r="D738" s="4">
        <f>68.3425 * CHOOSE(CONTROL!$C$9, $C$13, 100%, $E$13) + CHOOSE(CONTROL!$C$28, 0, 0)</f>
        <v>68.342500000000001</v>
      </c>
      <c r="E738" s="4">
        <f>394.875470422742 * CHOOSE(CONTROL!$C$9, $C$13, 100%, $E$13) + CHOOSE(CONTROL!$C$28, 0, 0)</f>
        <v>394.87547042274201</v>
      </c>
    </row>
    <row r="739" spans="1:5" ht="15">
      <c r="A739" s="13">
        <v>64375</v>
      </c>
      <c r="B739" s="4">
        <f>75.2186 * CHOOSE(CONTROL!$C$9, $C$13, 100%, $E$13) + CHOOSE(CONTROL!$C$28, 0.0003, 0)</f>
        <v>75.218899999999991</v>
      </c>
      <c r="C739" s="4">
        <f>74.9061 * CHOOSE(CONTROL!$C$9, $C$13, 100%, $E$13) + CHOOSE(CONTROL!$C$28, 0.0003, 0)</f>
        <v>74.906399999999991</v>
      </c>
      <c r="D739" s="4">
        <f>71.8893 * CHOOSE(CONTROL!$C$9, $C$13, 100%, $E$13) + CHOOSE(CONTROL!$C$28, 0, 0)</f>
        <v>71.889300000000006</v>
      </c>
      <c r="E739" s="4">
        <f>418.926026672035 * CHOOSE(CONTROL!$C$9, $C$13, 100%, $E$13) + CHOOSE(CONTROL!$C$28, 0, 0)</f>
        <v>418.92602667203499</v>
      </c>
    </row>
    <row r="740" spans="1:5" ht="15">
      <c r="A740" s="13">
        <v>64405</v>
      </c>
      <c r="B740" s="4">
        <f>78.2104 * CHOOSE(CONTROL!$C$9, $C$13, 100%, $E$13) + CHOOSE(CONTROL!$C$28, 0.0003, 0)</f>
        <v>78.210700000000003</v>
      </c>
      <c r="C740" s="4">
        <f>77.8979 * CHOOSE(CONTROL!$C$9, $C$13, 100%, $E$13) + CHOOSE(CONTROL!$C$28, 0.0003, 0)</f>
        <v>77.898200000000003</v>
      </c>
      <c r="D740" s="4">
        <f>73.9323 * CHOOSE(CONTROL!$C$9, $C$13, 100%, $E$13) + CHOOSE(CONTROL!$C$28, 0, 0)</f>
        <v>73.932299999999998</v>
      </c>
      <c r="E740" s="4">
        <f>436.014267402961 * CHOOSE(CONTROL!$C$9, $C$13, 100%, $E$13) + CHOOSE(CONTROL!$C$28, 0, 0)</f>
        <v>436.01426740296102</v>
      </c>
    </row>
    <row r="741" spans="1:5" ht="15">
      <c r="A741" s="13">
        <v>64436</v>
      </c>
      <c r="B741" s="4">
        <f>80.0383 * CHOOSE(CONTROL!$C$9, $C$13, 100%, $E$13) + CHOOSE(CONTROL!$C$28, 0.0294, 0)</f>
        <v>80.067700000000002</v>
      </c>
      <c r="C741" s="4">
        <f>79.7258 * CHOOSE(CONTROL!$C$9, $C$13, 100%, $E$13) + CHOOSE(CONTROL!$C$28, 0.0294, 0)</f>
        <v>79.755200000000002</v>
      </c>
      <c r="D741" s="4">
        <f>73.125 * CHOOSE(CONTROL!$C$9, $C$13, 100%, $E$13) + CHOOSE(CONTROL!$C$28, 0, 0)</f>
        <v>73.125</v>
      </c>
      <c r="E741" s="4">
        <f>446.454772941585 * CHOOSE(CONTROL!$C$9, $C$13, 100%, $E$13) + CHOOSE(CONTROL!$C$28, 0, 0)</f>
        <v>446.45477294158502</v>
      </c>
    </row>
    <row r="742" spans="1:5" ht="15">
      <c r="A742" s="13">
        <v>64466</v>
      </c>
      <c r="B742" s="4">
        <f>80.2856 * CHOOSE(CONTROL!$C$9, $C$13, 100%, $E$13) + CHOOSE(CONTROL!$C$28, 0.0294, 0)</f>
        <v>80.314999999999998</v>
      </c>
      <c r="C742" s="4">
        <f>79.9731 * CHOOSE(CONTROL!$C$9, $C$13, 100%, $E$13) + CHOOSE(CONTROL!$C$28, 0.0294, 0)</f>
        <v>80.002499999999998</v>
      </c>
      <c r="D742" s="4">
        <f>73.7825 * CHOOSE(CONTROL!$C$9, $C$13, 100%, $E$13) + CHOOSE(CONTROL!$C$28, 0, 0)</f>
        <v>73.782499999999999</v>
      </c>
      <c r="E742" s="4">
        <f>447.86741666995 * CHOOSE(CONTROL!$C$9, $C$13, 100%, $E$13) + CHOOSE(CONTROL!$C$28, 0, 0)</f>
        <v>447.86741666994999</v>
      </c>
    </row>
    <row r="743" spans="1:5" ht="15">
      <c r="A743" s="13">
        <v>64497</v>
      </c>
      <c r="B743" s="4">
        <f>80.2606 * CHOOSE(CONTROL!$C$9, $C$13, 100%, $E$13) + CHOOSE(CONTROL!$C$28, 0.0294, 0)</f>
        <v>80.289999999999992</v>
      </c>
      <c r="C743" s="4">
        <f>79.9481 * CHOOSE(CONTROL!$C$9, $C$13, 100%, $E$13) + CHOOSE(CONTROL!$C$28, 0.0294, 0)</f>
        <v>79.977499999999992</v>
      </c>
      <c r="D743" s="4">
        <f>74.9688 * CHOOSE(CONTROL!$C$9, $C$13, 100%, $E$13) + CHOOSE(CONTROL!$C$28, 0, 0)</f>
        <v>74.968800000000002</v>
      </c>
      <c r="E743" s="4">
        <f>447.724965201543 * CHOOSE(CONTROL!$C$9, $C$13, 100%, $E$13) + CHOOSE(CONTROL!$C$28, 0, 0)</f>
        <v>447.724965201543</v>
      </c>
    </row>
    <row r="744" spans="1:5" ht="15">
      <c r="A744" s="13">
        <v>64528</v>
      </c>
      <c r="B744" s="4">
        <f>82.1373 * CHOOSE(CONTROL!$C$9, $C$13, 100%, $E$13) + CHOOSE(CONTROL!$C$28, 0.0294, 0)</f>
        <v>82.166699999999992</v>
      </c>
      <c r="C744" s="4">
        <f>81.8248 * CHOOSE(CONTROL!$C$9, $C$13, 100%, $E$13) + CHOOSE(CONTROL!$C$28, 0.0294, 0)</f>
        <v>81.854199999999992</v>
      </c>
      <c r="D744" s="4">
        <f>74.1853 * CHOOSE(CONTROL!$C$9, $C$13, 100%, $E$13) + CHOOSE(CONTROL!$C$28, 0, 0)</f>
        <v>74.185299999999998</v>
      </c>
      <c r="E744" s="4">
        <f>458.44443819913 * CHOOSE(CONTROL!$C$9, $C$13, 100%, $E$13) + CHOOSE(CONTROL!$C$28, 0, 0)</f>
        <v>458.44443819912999</v>
      </c>
    </row>
    <row r="745" spans="1:5" ht="15">
      <c r="A745" s="13">
        <v>64558</v>
      </c>
      <c r="B745" s="4">
        <f>78.9388 * CHOOSE(CONTROL!$C$9, $C$13, 100%, $E$13) + CHOOSE(CONTROL!$C$28, 0.0294, 0)</f>
        <v>78.968199999999996</v>
      </c>
      <c r="C745" s="4">
        <f>78.6263 * CHOOSE(CONTROL!$C$9, $C$13, 100%, $E$13) + CHOOSE(CONTROL!$C$28, 0.0294, 0)</f>
        <v>78.655699999999996</v>
      </c>
      <c r="D745" s="4">
        <f>73.8152 * CHOOSE(CONTROL!$C$9, $C$13, 100%, $E$13) + CHOOSE(CONTROL!$C$28, 0, 0)</f>
        <v>73.815200000000004</v>
      </c>
      <c r="E745" s="4">
        <f>440.175037376 * CHOOSE(CONTROL!$C$9, $C$13, 100%, $E$13) + CHOOSE(CONTROL!$C$28, 0, 0)</f>
        <v>440.17503737599998</v>
      </c>
    </row>
    <row r="746" spans="1:5" ht="15">
      <c r="A746" s="13">
        <v>64589</v>
      </c>
      <c r="B746" s="4">
        <f>76.3783 * CHOOSE(CONTROL!$C$9, $C$13, 100%, $E$13) + CHOOSE(CONTROL!$C$28, 0.0003, 0)</f>
        <v>76.378599999999992</v>
      </c>
      <c r="C746" s="4">
        <f>76.0658 * CHOOSE(CONTROL!$C$9, $C$13, 100%, $E$13) + CHOOSE(CONTROL!$C$28, 0.0003, 0)</f>
        <v>76.066099999999992</v>
      </c>
      <c r="D746" s="4">
        <f>72.824 * CHOOSE(CONTROL!$C$9, $C$13, 100%, $E$13) + CHOOSE(CONTROL!$C$28, 0, 0)</f>
        <v>72.823999999999998</v>
      </c>
      <c r="E746" s="4">
        <f>425.550019952936 * CHOOSE(CONTROL!$C$9, $C$13, 100%, $E$13) + CHOOSE(CONTROL!$C$28, 0, 0)</f>
        <v>425.550019952936</v>
      </c>
    </row>
    <row r="747" spans="1:5" ht="15">
      <c r="A747" s="13">
        <v>64619</v>
      </c>
      <c r="B747" s="4">
        <f>74.7292 * CHOOSE(CONTROL!$C$9, $C$13, 100%, $E$13) + CHOOSE(CONTROL!$C$28, 0.0003, 0)</f>
        <v>74.729500000000002</v>
      </c>
      <c r="C747" s="4">
        <f>74.4167 * CHOOSE(CONTROL!$C$9, $C$13, 100%, $E$13) + CHOOSE(CONTROL!$C$28, 0.0003, 0)</f>
        <v>74.417000000000002</v>
      </c>
      <c r="D747" s="4">
        <f>72.4833 * CHOOSE(CONTROL!$C$9, $C$13, 100%, $E$13) + CHOOSE(CONTROL!$C$28, 0, 0)</f>
        <v>72.4833</v>
      </c>
      <c r="E747" s="4">
        <f>416.130416604558 * CHOOSE(CONTROL!$C$9, $C$13, 100%, $E$13) + CHOOSE(CONTROL!$C$28, 0, 0)</f>
        <v>416.13041660455798</v>
      </c>
    </row>
    <row r="748" spans="1:5" ht="15">
      <c r="A748" s="13">
        <v>64650</v>
      </c>
      <c r="B748" s="4">
        <f>73.5882 * CHOOSE(CONTROL!$C$9, $C$13, 100%, $E$13) + CHOOSE(CONTROL!$C$28, 0.0003, 0)</f>
        <v>73.588499999999996</v>
      </c>
      <c r="C748" s="4">
        <f>73.2757 * CHOOSE(CONTROL!$C$9, $C$13, 100%, $E$13) + CHOOSE(CONTROL!$C$28, 0.0003, 0)</f>
        <v>73.275999999999996</v>
      </c>
      <c r="D748" s="4">
        <f>69.9746 * CHOOSE(CONTROL!$C$9, $C$13, 100%, $E$13) + CHOOSE(CONTROL!$C$28, 0, 0)</f>
        <v>69.974599999999995</v>
      </c>
      <c r="E748" s="4">
        <f>409.613261924962 * CHOOSE(CONTROL!$C$9, $C$13, 100%, $E$13) + CHOOSE(CONTROL!$C$28, 0, 0)</f>
        <v>409.61326192496199</v>
      </c>
    </row>
    <row r="749" spans="1:5" ht="15">
      <c r="A749" s="13">
        <v>64681</v>
      </c>
      <c r="B749" s="4">
        <f>71.7343 * CHOOSE(CONTROL!$C$9, $C$13, 100%, $E$13) + CHOOSE(CONTROL!$C$28, 0.0003, 0)</f>
        <v>71.7346</v>
      </c>
      <c r="C749" s="4">
        <f>71.4218 * CHOOSE(CONTROL!$C$9, $C$13, 100%, $E$13) + CHOOSE(CONTROL!$C$28, 0.0003, 0)</f>
        <v>71.4221</v>
      </c>
      <c r="D749" s="4">
        <f>67.6689 * CHOOSE(CONTROL!$C$9, $C$13, 100%, $E$13) + CHOOSE(CONTROL!$C$28, 0, 0)</f>
        <v>67.668899999999994</v>
      </c>
      <c r="E749" s="4">
        <f>397.867114484919 * CHOOSE(CONTROL!$C$9, $C$13, 100%, $E$13) + CHOOSE(CONTROL!$C$28, 0, 0)</f>
        <v>397.867114484919</v>
      </c>
    </row>
    <row r="750" spans="1:5" ht="15">
      <c r="A750" s="13">
        <v>64709</v>
      </c>
      <c r="B750" s="4">
        <f>73.3931 * CHOOSE(CONTROL!$C$9, $C$13, 100%, $E$13) + CHOOSE(CONTROL!$C$28, 0.0003, 0)</f>
        <v>73.3934</v>
      </c>
      <c r="C750" s="4">
        <f>73.0806 * CHOOSE(CONTROL!$C$9, $C$13, 100%, $E$13) + CHOOSE(CONTROL!$C$28, 0.0003, 0)</f>
        <v>73.0809</v>
      </c>
      <c r="D750" s="4">
        <f>69.9907 * CHOOSE(CONTROL!$C$9, $C$13, 100%, $E$13) + CHOOSE(CONTROL!$C$28, 0, 0)</f>
        <v>69.990700000000004</v>
      </c>
      <c r="E750" s="4">
        <f>407.314047741058 * CHOOSE(CONTROL!$C$9, $C$13, 100%, $E$13) + CHOOSE(CONTROL!$C$28, 0, 0)</f>
        <v>407.314047741058</v>
      </c>
    </row>
    <row r="751" spans="1:5" ht="15">
      <c r="A751" s="13">
        <v>64740</v>
      </c>
      <c r="B751" s="4">
        <f>77.749 * CHOOSE(CONTROL!$C$9, $C$13, 100%, $E$13) + CHOOSE(CONTROL!$C$28, 0.0003, 0)</f>
        <v>77.749299999999991</v>
      </c>
      <c r="C751" s="4">
        <f>77.4365 * CHOOSE(CONTROL!$C$9, $C$13, 100%, $E$13) + CHOOSE(CONTROL!$C$28, 0.0003, 0)</f>
        <v>77.436799999999991</v>
      </c>
      <c r="D751" s="4">
        <f>73.6254 * CHOOSE(CONTROL!$C$9, $C$13, 100%, $E$13) + CHOOSE(CONTROL!$C$28, 0, 0)</f>
        <v>73.625399999999999</v>
      </c>
      <c r="E751" s="4">
        <f>432.122196512204 * CHOOSE(CONTROL!$C$9, $C$13, 100%, $E$13) + CHOOSE(CONTROL!$C$28, 0, 0)</f>
        <v>432.12219651220403</v>
      </c>
    </row>
    <row r="752" spans="1:5" ht="15">
      <c r="A752" s="13">
        <v>64770</v>
      </c>
      <c r="B752" s="4">
        <f>80.8439 * CHOOSE(CONTROL!$C$9, $C$13, 100%, $E$13) + CHOOSE(CONTROL!$C$28, 0.0003, 0)</f>
        <v>80.844200000000001</v>
      </c>
      <c r="C752" s="4">
        <f>80.5314 * CHOOSE(CONTROL!$C$9, $C$13, 100%, $E$13) + CHOOSE(CONTROL!$C$28, 0.0003, 0)</f>
        <v>80.531700000000001</v>
      </c>
      <c r="D752" s="4">
        <f>75.7191 * CHOOSE(CONTROL!$C$9, $C$13, 100%, $E$13) + CHOOSE(CONTROL!$C$28, 0, 0)</f>
        <v>75.719099999999997</v>
      </c>
      <c r="E752" s="4">
        <f>449.748716826154 * CHOOSE(CONTROL!$C$9, $C$13, 100%, $E$13) + CHOOSE(CONTROL!$C$28, 0, 0)</f>
        <v>449.74871682615401</v>
      </c>
    </row>
    <row r="753" spans="1:5" ht="15">
      <c r="A753" s="13">
        <v>64801</v>
      </c>
      <c r="B753" s="4">
        <f>82.7349 * CHOOSE(CONTROL!$C$9, $C$13, 100%, $E$13) + CHOOSE(CONTROL!$C$28, 0.0294, 0)</f>
        <v>82.764299999999992</v>
      </c>
      <c r="C753" s="4">
        <f>82.4224 * CHOOSE(CONTROL!$C$9, $C$13, 100%, $E$13) + CHOOSE(CONTROL!$C$28, 0.0294, 0)</f>
        <v>82.451799999999992</v>
      </c>
      <c r="D753" s="4">
        <f>74.8918 * CHOOSE(CONTROL!$C$9, $C$13, 100%, $E$13) + CHOOSE(CONTROL!$C$28, 0, 0)</f>
        <v>74.891800000000003</v>
      </c>
      <c r="E753" s="4">
        <f>460.518098289245 * CHOOSE(CONTROL!$C$9, $C$13, 100%, $E$13) + CHOOSE(CONTROL!$C$28, 0, 0)</f>
        <v>460.51809828924502</v>
      </c>
    </row>
    <row r="754" spans="1:5" ht="15">
      <c r="A754" s="13">
        <v>64831</v>
      </c>
      <c r="B754" s="4">
        <f>82.9907 * CHOOSE(CONTROL!$C$9, $C$13, 100%, $E$13) + CHOOSE(CONTROL!$C$28, 0.0294, 0)</f>
        <v>83.020099999999999</v>
      </c>
      <c r="C754" s="4">
        <f>82.6782 * CHOOSE(CONTROL!$C$9, $C$13, 100%, $E$13) + CHOOSE(CONTROL!$C$28, 0.0294, 0)</f>
        <v>82.707599999999999</v>
      </c>
      <c r="D754" s="4">
        <f>75.5656 * CHOOSE(CONTROL!$C$9, $C$13, 100%, $E$13) + CHOOSE(CONTROL!$C$28, 0, 0)</f>
        <v>75.565600000000003</v>
      </c>
      <c r="E754" s="4">
        <f>461.975240295053 * CHOOSE(CONTROL!$C$9, $C$13, 100%, $E$13) + CHOOSE(CONTROL!$C$28, 0, 0)</f>
        <v>461.97524029505303</v>
      </c>
    </row>
    <row r="755" spans="1:5" ht="15">
      <c r="A755" s="13">
        <v>64862</v>
      </c>
      <c r="B755" s="4">
        <f>82.9649 * CHOOSE(CONTROL!$C$9, $C$13, 100%, $E$13) + CHOOSE(CONTROL!$C$28, 0.0294, 0)</f>
        <v>82.994299999999996</v>
      </c>
      <c r="C755" s="4">
        <f>82.6524 * CHOOSE(CONTROL!$C$9, $C$13, 100%, $E$13) + CHOOSE(CONTROL!$C$28, 0.0294, 0)</f>
        <v>82.681799999999996</v>
      </c>
      <c r="D755" s="4">
        <f>76.7813 * CHOOSE(CONTROL!$C$9, $C$13, 100%, $E$13) + CHOOSE(CONTROL!$C$28, 0, 0)</f>
        <v>76.781300000000002</v>
      </c>
      <c r="E755" s="4">
        <f>461.828301605392 * CHOOSE(CONTROL!$C$9, $C$13, 100%, $E$13) + CHOOSE(CONTROL!$C$28, 0, 0)</f>
        <v>461.82830160539203</v>
      </c>
    </row>
    <row r="756" spans="1:5" ht="15">
      <c r="A756" s="13">
        <v>64893</v>
      </c>
      <c r="B756" s="4">
        <f>84.9064 * CHOOSE(CONTROL!$C$9, $C$13, 100%, $E$13) + CHOOSE(CONTROL!$C$28, 0.0294, 0)</f>
        <v>84.9358</v>
      </c>
      <c r="C756" s="4">
        <f>84.5939 * CHOOSE(CONTROL!$C$9, $C$13, 100%, $E$13) + CHOOSE(CONTROL!$C$28, 0.0294, 0)</f>
        <v>84.6233</v>
      </c>
      <c r="D756" s="4">
        <f>75.9784 * CHOOSE(CONTROL!$C$9, $C$13, 100%, $E$13) + CHOOSE(CONTROL!$C$28, 0, 0)</f>
        <v>75.978399999999993</v>
      </c>
      <c r="E756" s="4">
        <f>472.885438002403 * CHOOSE(CONTROL!$C$9, $C$13, 100%, $E$13) + CHOOSE(CONTROL!$C$28, 0, 0)</f>
        <v>472.88543800240302</v>
      </c>
    </row>
    <row r="757" spans="1:5" ht="15">
      <c r="A757" s="13">
        <v>64923</v>
      </c>
      <c r="B757" s="4">
        <f>81.5975 * CHOOSE(CONTROL!$C$9, $C$13, 100%, $E$13) + CHOOSE(CONTROL!$C$28, 0.0294, 0)</f>
        <v>81.626899999999992</v>
      </c>
      <c r="C757" s="4">
        <f>81.285 * CHOOSE(CONTROL!$C$9, $C$13, 100%, $E$13) + CHOOSE(CONTROL!$C$28, 0.0294, 0)</f>
        <v>81.314399999999992</v>
      </c>
      <c r="D757" s="4">
        <f>75.5991 * CHOOSE(CONTROL!$C$9, $C$13, 100%, $E$13) + CHOOSE(CONTROL!$C$28, 0, 0)</f>
        <v>75.599100000000007</v>
      </c>
      <c r="E757" s="4">
        <f>454.040551053344 * CHOOSE(CONTROL!$C$9, $C$13, 100%, $E$13) + CHOOSE(CONTROL!$C$28, 0, 0)</f>
        <v>454.04055105334402</v>
      </c>
    </row>
    <row r="758" spans="1:5" ht="15">
      <c r="A758" s="13">
        <v>64954</v>
      </c>
      <c r="B758" s="4">
        <f>78.9487 * CHOOSE(CONTROL!$C$9, $C$13, 100%, $E$13) + CHOOSE(CONTROL!$C$28, 0.0003, 0)</f>
        <v>78.948999999999998</v>
      </c>
      <c r="C758" s="4">
        <f>78.6362 * CHOOSE(CONTROL!$C$9, $C$13, 100%, $E$13) + CHOOSE(CONTROL!$C$28, 0.0003, 0)</f>
        <v>78.636499999999998</v>
      </c>
      <c r="D758" s="4">
        <f>74.5834 * CHOOSE(CONTROL!$C$9, $C$13, 100%, $E$13) + CHOOSE(CONTROL!$C$28, 0, 0)</f>
        <v>74.583399999999997</v>
      </c>
      <c r="E758" s="4">
        <f>438.954845581453 * CHOOSE(CONTROL!$C$9, $C$13, 100%, $E$13) + CHOOSE(CONTROL!$C$28, 0, 0)</f>
        <v>438.95484558145301</v>
      </c>
    </row>
    <row r="759" spans="1:5" ht="15">
      <c r="A759" s="13">
        <v>64984</v>
      </c>
      <c r="B759" s="4">
        <f>77.2427 * CHOOSE(CONTROL!$C$9, $C$13, 100%, $E$13) + CHOOSE(CONTROL!$C$28, 0.0003, 0)</f>
        <v>77.242999999999995</v>
      </c>
      <c r="C759" s="4">
        <f>76.9302 * CHOOSE(CONTROL!$C$9, $C$13, 100%, $E$13) + CHOOSE(CONTROL!$C$28, 0.0003, 0)</f>
        <v>76.930499999999995</v>
      </c>
      <c r="D759" s="4">
        <f>74.2342 * CHOOSE(CONTROL!$C$9, $C$13, 100%, $E$13) + CHOOSE(CONTROL!$C$28, 0, 0)</f>
        <v>74.234200000000001</v>
      </c>
      <c r="E759" s="4">
        <f>429.238524727601 * CHOOSE(CONTROL!$C$9, $C$13, 100%, $E$13) + CHOOSE(CONTROL!$C$28, 0, 0)</f>
        <v>429.23852472760097</v>
      </c>
    </row>
    <row r="760" spans="1:5" ht="15">
      <c r="A760" s="13">
        <v>65015</v>
      </c>
      <c r="B760" s="4">
        <f>76.0623 * CHOOSE(CONTROL!$C$9, $C$13, 100%, $E$13) + CHOOSE(CONTROL!$C$28, 0.0003, 0)</f>
        <v>76.062599999999989</v>
      </c>
      <c r="C760" s="4">
        <f>75.7498 * CHOOSE(CONTROL!$C$9, $C$13, 100%, $E$13) + CHOOSE(CONTROL!$C$28, 0.0003, 0)</f>
        <v>75.750099999999989</v>
      </c>
      <c r="D760" s="4">
        <f>71.6633 * CHOOSE(CONTROL!$C$9, $C$13, 100%, $E$13) + CHOOSE(CONTROL!$C$28, 0, 0)</f>
        <v>71.663300000000007</v>
      </c>
      <c r="E760" s="4">
        <f>422.516079675598 * CHOOSE(CONTROL!$C$9, $C$13, 100%, $E$13) + CHOOSE(CONTROL!$C$28, 0, 0)</f>
        <v>422.51607967559801</v>
      </c>
    </row>
    <row r="761" spans="1:5" ht="15">
      <c r="A761" s="13">
        <v>65046</v>
      </c>
      <c r="B761" s="4">
        <f>74.1445 * CHOOSE(CONTROL!$C$9, $C$13, 100%, $E$13) + CHOOSE(CONTROL!$C$28, 0.0003, 0)</f>
        <v>74.144799999999989</v>
      </c>
      <c r="C761" s="4">
        <f>73.832 * CHOOSE(CONTROL!$C$9, $C$13, 100%, $E$13) + CHOOSE(CONTROL!$C$28, 0.0003, 0)</f>
        <v>73.832299999999989</v>
      </c>
      <c r="D761" s="4">
        <f>69.3004 * CHOOSE(CONTROL!$C$9, $C$13, 100%, $E$13) + CHOOSE(CONTROL!$C$28, 0, 0)</f>
        <v>69.300399999999996</v>
      </c>
      <c r="E761" s="4">
        <f>410.399928591194 * CHOOSE(CONTROL!$C$9, $C$13, 100%, $E$13) + CHOOSE(CONTROL!$C$28, 0, 0)</f>
        <v>410.399928591194</v>
      </c>
    </row>
    <row r="762" spans="1:5" ht="15">
      <c r="A762" s="13">
        <v>65074</v>
      </c>
      <c r="B762" s="4">
        <f>75.8604 * CHOOSE(CONTROL!$C$9, $C$13, 100%, $E$13) + CHOOSE(CONTROL!$C$28, 0.0003, 0)</f>
        <v>75.860699999999994</v>
      </c>
      <c r="C762" s="4">
        <f>75.5479 * CHOOSE(CONTROL!$C$9, $C$13, 100%, $E$13) + CHOOSE(CONTROL!$C$28, 0.0003, 0)</f>
        <v>75.548199999999994</v>
      </c>
      <c r="D762" s="4">
        <f>71.6798 * CHOOSE(CONTROL!$C$9, $C$13, 100%, $E$13) + CHOOSE(CONTROL!$C$28, 0, 0)</f>
        <v>71.6798</v>
      </c>
      <c r="E762" s="4">
        <f>420.144440244902 * CHOOSE(CONTROL!$C$9, $C$13, 100%, $E$13) + CHOOSE(CONTROL!$C$28, 0, 0)</f>
        <v>420.144440244902</v>
      </c>
    </row>
    <row r="763" spans="1:5" ht="15">
      <c r="A763" s="13">
        <v>65105</v>
      </c>
      <c r="B763" s="4">
        <f>80.3667 * CHOOSE(CONTROL!$C$9, $C$13, 100%, $E$13) + CHOOSE(CONTROL!$C$28, 0.0003, 0)</f>
        <v>80.36699999999999</v>
      </c>
      <c r="C763" s="4">
        <f>80.0542 * CHOOSE(CONTROL!$C$9, $C$13, 100%, $E$13) + CHOOSE(CONTROL!$C$28, 0.0003, 0)</f>
        <v>80.05449999999999</v>
      </c>
      <c r="D763" s="4">
        <f>75.4046 * CHOOSE(CONTROL!$C$9, $C$13, 100%, $E$13) + CHOOSE(CONTROL!$C$28, 0, 0)</f>
        <v>75.404600000000002</v>
      </c>
      <c r="E763" s="4">
        <f>445.734045702338 * CHOOSE(CONTROL!$C$9, $C$13, 100%, $E$13) + CHOOSE(CONTROL!$C$28, 0, 0)</f>
        <v>445.73404570233799</v>
      </c>
    </row>
    <row r="764" spans="1:5" ht="15">
      <c r="A764" s="13">
        <v>65135</v>
      </c>
      <c r="B764" s="4">
        <f>83.5684 * CHOOSE(CONTROL!$C$9, $C$13, 100%, $E$13) + CHOOSE(CONTROL!$C$28, 0.0003, 0)</f>
        <v>83.568699999999993</v>
      </c>
      <c r="C764" s="4">
        <f>83.2559 * CHOOSE(CONTROL!$C$9, $C$13, 100%, $E$13) + CHOOSE(CONTROL!$C$28, 0.0003, 0)</f>
        <v>83.256199999999993</v>
      </c>
      <c r="D764" s="4">
        <f>77.5503 * CHOOSE(CONTROL!$C$9, $C$13, 100%, $E$13) + CHOOSE(CONTROL!$C$28, 0, 0)</f>
        <v>77.550299999999993</v>
      </c>
      <c r="E764" s="4">
        <f>463.915801406178 * CHOOSE(CONTROL!$C$9, $C$13, 100%, $E$13) + CHOOSE(CONTROL!$C$28, 0, 0)</f>
        <v>463.91580140617799</v>
      </c>
    </row>
    <row r="765" spans="1:5" ht="15">
      <c r="A765" s="13">
        <v>65166</v>
      </c>
      <c r="B765" s="4">
        <f>85.5245 * CHOOSE(CONTROL!$C$9, $C$13, 100%, $E$13) + CHOOSE(CONTROL!$C$28, 0.0294, 0)</f>
        <v>85.553899999999999</v>
      </c>
      <c r="C765" s="4">
        <f>85.212 * CHOOSE(CONTROL!$C$9, $C$13, 100%, $E$13) + CHOOSE(CONTROL!$C$28, 0.0294, 0)</f>
        <v>85.241399999999999</v>
      </c>
      <c r="D765" s="4">
        <f>76.7024 * CHOOSE(CONTROL!$C$9, $C$13, 100%, $E$13) + CHOOSE(CONTROL!$C$28, 0, 0)</f>
        <v>76.702399999999997</v>
      </c>
      <c r="E765" s="4">
        <f>475.024418385357 * CHOOSE(CONTROL!$C$9, $C$13, 100%, $E$13) + CHOOSE(CONTROL!$C$28, 0, 0)</f>
        <v>475.02441838535702</v>
      </c>
    </row>
    <row r="766" spans="1:5" ht="15">
      <c r="A766" s="13">
        <v>65196</v>
      </c>
      <c r="B766" s="4">
        <f>85.7892 * CHOOSE(CONTROL!$C$9, $C$13, 100%, $E$13) + CHOOSE(CONTROL!$C$28, 0.0294, 0)</f>
        <v>85.818599999999989</v>
      </c>
      <c r="C766" s="4">
        <f>85.4767 * CHOOSE(CONTROL!$C$9, $C$13, 100%, $E$13) + CHOOSE(CONTROL!$C$28, 0.0294, 0)</f>
        <v>85.506099999999989</v>
      </c>
      <c r="D766" s="4">
        <f>77.3929 * CHOOSE(CONTROL!$C$9, $C$13, 100%, $E$13) + CHOOSE(CONTROL!$C$28, 0, 0)</f>
        <v>77.392899999999997</v>
      </c>
      <c r="E766" s="4">
        <f>476.527460364347 * CHOOSE(CONTROL!$C$9, $C$13, 100%, $E$13) + CHOOSE(CONTROL!$C$28, 0, 0)</f>
        <v>476.52746036434701</v>
      </c>
    </row>
    <row r="767" spans="1:5" ht="15">
      <c r="A767" s="13">
        <v>65227</v>
      </c>
      <c r="B767" s="4">
        <f>85.7625 * CHOOSE(CONTROL!$C$9, $C$13, 100%, $E$13) + CHOOSE(CONTROL!$C$28, 0.0294, 0)</f>
        <v>85.791899999999998</v>
      </c>
      <c r="C767" s="4">
        <f>85.45 * CHOOSE(CONTROL!$C$9, $C$13, 100%, $E$13) + CHOOSE(CONTROL!$C$28, 0.0294, 0)</f>
        <v>85.479399999999998</v>
      </c>
      <c r="D767" s="4">
        <f>78.6388 * CHOOSE(CONTROL!$C$9, $C$13, 100%, $E$13) + CHOOSE(CONTROL!$C$28, 0, 0)</f>
        <v>78.638800000000003</v>
      </c>
      <c r="E767" s="4">
        <f>476.375893105962 * CHOOSE(CONTROL!$C$9, $C$13, 100%, $E$13) + CHOOSE(CONTROL!$C$28, 0, 0)</f>
        <v>476.37589310596201</v>
      </c>
    </row>
    <row r="768" spans="1:5" ht="15">
      <c r="A768" s="13">
        <v>65258</v>
      </c>
      <c r="B768" s="4">
        <f>87.771 * CHOOSE(CONTROL!$C$9, $C$13, 100%, $E$13) + CHOOSE(CONTROL!$C$28, 0.0294, 0)</f>
        <v>87.800399999999996</v>
      </c>
      <c r="C768" s="4">
        <f>87.4585 * CHOOSE(CONTROL!$C$9, $C$13, 100%, $E$13) + CHOOSE(CONTROL!$C$28, 0.0294, 0)</f>
        <v>87.487899999999996</v>
      </c>
      <c r="D768" s="4">
        <f>77.816 * CHOOSE(CONTROL!$C$9, $C$13, 100%, $E$13) + CHOOSE(CONTROL!$C$28, 0, 0)</f>
        <v>77.816000000000003</v>
      </c>
      <c r="E768" s="4">
        <f>487.781329299479 * CHOOSE(CONTROL!$C$9, $C$13, 100%, $E$13) + CHOOSE(CONTROL!$C$28, 0, 0)</f>
        <v>487.78132929947901</v>
      </c>
    </row>
    <row r="769" spans="1:5" ht="15">
      <c r="A769" s="13">
        <v>65288</v>
      </c>
      <c r="B769" s="4">
        <f>84.348 * CHOOSE(CONTROL!$C$9, $C$13, 100%, $E$13) + CHOOSE(CONTROL!$C$28, 0.0294, 0)</f>
        <v>84.377399999999994</v>
      </c>
      <c r="C769" s="4">
        <f>84.0355 * CHOOSE(CONTROL!$C$9, $C$13, 100%, $E$13) + CHOOSE(CONTROL!$C$28, 0.0294, 0)</f>
        <v>84.064899999999994</v>
      </c>
      <c r="D769" s="4">
        <f>77.4273 * CHOOSE(CONTROL!$C$9, $C$13, 100%, $E$13) + CHOOSE(CONTROL!$C$28, 0, 0)</f>
        <v>77.427300000000002</v>
      </c>
      <c r="E769" s="4">
        <f>468.342828411525 * CHOOSE(CONTROL!$C$9, $C$13, 100%, $E$13) + CHOOSE(CONTROL!$C$28, 0, 0)</f>
        <v>468.34282841152498</v>
      </c>
    </row>
    <row r="770" spans="1:5" ht="15">
      <c r="A770" s="13">
        <v>65319</v>
      </c>
      <c r="B770" s="4">
        <f>81.6078 * CHOOSE(CONTROL!$C$9, $C$13, 100%, $E$13) + CHOOSE(CONTROL!$C$28, 0.0003, 0)</f>
        <v>81.608099999999993</v>
      </c>
      <c r="C770" s="4">
        <f>81.2953 * CHOOSE(CONTROL!$C$9, $C$13, 100%, $E$13) + CHOOSE(CONTROL!$C$28, 0.0003, 0)</f>
        <v>81.295599999999993</v>
      </c>
      <c r="D770" s="4">
        <f>76.3863 * CHOOSE(CONTROL!$C$9, $C$13, 100%, $E$13) + CHOOSE(CONTROL!$C$28, 0, 0)</f>
        <v>76.386300000000006</v>
      </c>
      <c r="E770" s="4">
        <f>452.781923217269 * CHOOSE(CONTROL!$C$9, $C$13, 100%, $E$13) + CHOOSE(CONTROL!$C$28, 0, 0)</f>
        <v>452.78192321726902</v>
      </c>
    </row>
    <row r="771" spans="1:5" ht="15">
      <c r="A771" s="13">
        <v>65349</v>
      </c>
      <c r="B771" s="4">
        <f>79.8429 * CHOOSE(CONTROL!$C$9, $C$13, 100%, $E$13) + CHOOSE(CONTROL!$C$28, 0.0003, 0)</f>
        <v>79.843199999999996</v>
      </c>
      <c r="C771" s="4">
        <f>79.5304 * CHOOSE(CONTROL!$C$9, $C$13, 100%, $E$13) + CHOOSE(CONTROL!$C$28, 0.0003, 0)</f>
        <v>79.530699999999996</v>
      </c>
      <c r="D771" s="4">
        <f>76.0285 * CHOOSE(CONTROL!$C$9, $C$13, 100%, $E$13) + CHOOSE(CONTROL!$C$28, 0, 0)</f>
        <v>76.028499999999994</v>
      </c>
      <c r="E771" s="4">
        <f>442.759538256521 * CHOOSE(CONTROL!$C$9, $C$13, 100%, $E$13) + CHOOSE(CONTROL!$C$28, 0, 0)</f>
        <v>442.75953825652101</v>
      </c>
    </row>
    <row r="772" spans="1:5" ht="15">
      <c r="A772" s="13">
        <v>65380</v>
      </c>
      <c r="B772" s="4">
        <f>78.6218 * CHOOSE(CONTROL!$C$9, $C$13, 100%, $E$13) + CHOOSE(CONTROL!$C$28, 0.0003, 0)</f>
        <v>78.622099999999989</v>
      </c>
      <c r="C772" s="4">
        <f>78.3093 * CHOOSE(CONTROL!$C$9, $C$13, 100%, $E$13) + CHOOSE(CONTROL!$C$28, 0.0003, 0)</f>
        <v>78.309599999999989</v>
      </c>
      <c r="D772" s="4">
        <f>73.3938 * CHOOSE(CONTROL!$C$9, $C$13, 100%, $E$13) + CHOOSE(CONTROL!$C$28, 0, 0)</f>
        <v>73.393799999999999</v>
      </c>
      <c r="E772" s="4">
        <f>435.825336185379 * CHOOSE(CONTROL!$C$9, $C$13, 100%, $E$13) + CHOOSE(CONTROL!$C$28, 0, 0)</f>
        <v>435.825336185379</v>
      </c>
    </row>
    <row r="773" spans="1:5" ht="15">
      <c r="A773" s="13">
        <v>65411</v>
      </c>
      <c r="B773" s="4">
        <f>76.6378 * CHOOSE(CONTROL!$C$9, $C$13, 100%, $E$13) + CHOOSE(CONTROL!$C$28, 0.0003, 0)</f>
        <v>76.638099999999994</v>
      </c>
      <c r="C773" s="4">
        <f>76.3253 * CHOOSE(CONTROL!$C$9, $C$13, 100%, $E$13) + CHOOSE(CONTROL!$C$28, 0.0003, 0)</f>
        <v>76.325599999999994</v>
      </c>
      <c r="D773" s="4">
        <f>70.9723 * CHOOSE(CONTROL!$C$9, $C$13, 100%, $E$13) + CHOOSE(CONTROL!$C$28, 0, 0)</f>
        <v>70.972300000000004</v>
      </c>
      <c r="E773" s="4">
        <f>423.327526341816 * CHOOSE(CONTROL!$C$9, $C$13, 100%, $E$13) + CHOOSE(CONTROL!$C$28, 0, 0)</f>
        <v>423.327526341816</v>
      </c>
    </row>
    <row r="774" spans="1:5" ht="15">
      <c r="A774" s="13">
        <v>65439</v>
      </c>
      <c r="B774" s="4">
        <f>78.4129 * CHOOSE(CONTROL!$C$9, $C$13, 100%, $E$13) + CHOOSE(CONTROL!$C$28, 0.0003, 0)</f>
        <v>78.413199999999989</v>
      </c>
      <c r="C774" s="4">
        <f>78.1004 * CHOOSE(CONTROL!$C$9, $C$13, 100%, $E$13) + CHOOSE(CONTROL!$C$28, 0.0003, 0)</f>
        <v>78.100699999999989</v>
      </c>
      <c r="D774" s="4">
        <f>73.4108 * CHOOSE(CONTROL!$C$9, $C$13, 100%, $E$13) + CHOOSE(CONTROL!$C$28, 0, 0)</f>
        <v>73.410799999999995</v>
      </c>
      <c r="E774" s="4">
        <f>433.378990112616 * CHOOSE(CONTROL!$C$9, $C$13, 100%, $E$13) + CHOOSE(CONTROL!$C$28, 0, 0)</f>
        <v>433.37899011261601</v>
      </c>
    </row>
    <row r="775" spans="1:5" ht="15">
      <c r="A775" s="13">
        <v>65470</v>
      </c>
      <c r="B775" s="4">
        <f>83.0746 * CHOOSE(CONTROL!$C$9, $C$13, 100%, $E$13) + CHOOSE(CONTROL!$C$28, 0.0003, 0)</f>
        <v>83.0749</v>
      </c>
      <c r="C775" s="4">
        <f>82.7621 * CHOOSE(CONTROL!$C$9, $C$13, 100%, $E$13) + CHOOSE(CONTROL!$C$28, 0.0003, 0)</f>
        <v>82.7624</v>
      </c>
      <c r="D775" s="4">
        <f>77.228 * CHOOSE(CONTROL!$C$9, $C$13, 100%, $E$13) + CHOOSE(CONTROL!$C$28, 0, 0)</f>
        <v>77.227999999999994</v>
      </c>
      <c r="E775" s="4">
        <f>459.774668141962 * CHOOSE(CONTROL!$C$9, $C$13, 100%, $E$13) + CHOOSE(CONTROL!$C$28, 0, 0)</f>
        <v>459.77466814196202</v>
      </c>
    </row>
    <row r="776" spans="1:5" ht="15">
      <c r="A776" s="13">
        <v>65500</v>
      </c>
      <c r="B776" s="4">
        <f>86.3868 * CHOOSE(CONTROL!$C$9, $C$13, 100%, $E$13) + CHOOSE(CONTROL!$C$28, 0.0003, 0)</f>
        <v>86.38709999999999</v>
      </c>
      <c r="C776" s="4">
        <f>86.0743 * CHOOSE(CONTROL!$C$9, $C$13, 100%, $E$13) + CHOOSE(CONTROL!$C$28, 0.0003, 0)</f>
        <v>86.07459999999999</v>
      </c>
      <c r="D776" s="4">
        <f>79.4268 * CHOOSE(CONTROL!$C$9, $C$13, 100%, $E$13) + CHOOSE(CONTROL!$C$28, 0, 0)</f>
        <v>79.4268</v>
      </c>
      <c r="E776" s="4">
        <f>478.529149150473 * CHOOSE(CONTROL!$C$9, $C$13, 100%, $E$13) + CHOOSE(CONTROL!$C$28, 0, 0)</f>
        <v>478.52914915047302</v>
      </c>
    </row>
    <row r="777" spans="1:5" ht="15">
      <c r="A777" s="13">
        <v>65531</v>
      </c>
      <c r="B777" s="4">
        <f>88.4105 * CHOOSE(CONTROL!$C$9, $C$13, 100%, $E$13) + CHOOSE(CONTROL!$C$28, 0.0294, 0)</f>
        <v>88.439899999999994</v>
      </c>
      <c r="C777" s="4">
        <f>88.098 * CHOOSE(CONTROL!$C$9, $C$13, 100%, $E$13) + CHOOSE(CONTROL!$C$28, 0.0294, 0)</f>
        <v>88.127399999999994</v>
      </c>
      <c r="D777" s="4">
        <f>78.5579 * CHOOSE(CONTROL!$C$9, $C$13, 100%, $E$13) + CHOOSE(CONTROL!$C$28, 0, 0)</f>
        <v>78.557900000000004</v>
      </c>
      <c r="E777" s="4">
        <f>489.987687564496 * CHOOSE(CONTROL!$C$9, $C$13, 100%, $E$13) + CHOOSE(CONTROL!$C$28, 0, 0)</f>
        <v>489.98768756449601</v>
      </c>
    </row>
    <row r="778" spans="1:5" ht="15">
      <c r="A778" s="13">
        <v>65561</v>
      </c>
      <c r="B778" s="4">
        <f>88.6843 * CHOOSE(CONTROL!$C$9, $C$13, 100%, $E$13) + CHOOSE(CONTROL!$C$28, 0.0294, 0)</f>
        <v>88.713699999999989</v>
      </c>
      <c r="C778" s="4">
        <f>88.3718 * CHOOSE(CONTROL!$C$9, $C$13, 100%, $E$13) + CHOOSE(CONTROL!$C$28, 0.0294, 0)</f>
        <v>88.401199999999989</v>
      </c>
      <c r="D778" s="4">
        <f>79.2656 * CHOOSE(CONTROL!$C$9, $C$13, 100%, $E$13) + CHOOSE(CONTROL!$C$28, 0, 0)</f>
        <v>79.265600000000006</v>
      </c>
      <c r="E778" s="4">
        <f>491.538075365824 * CHOOSE(CONTROL!$C$9, $C$13, 100%, $E$13) + CHOOSE(CONTROL!$C$28, 0, 0)</f>
        <v>491.538075365824</v>
      </c>
    </row>
    <row r="779" spans="1:5" ht="15">
      <c r="A779" s="13">
        <v>65592</v>
      </c>
      <c r="B779" s="4">
        <f>88.6567 * CHOOSE(CONTROL!$C$9, $C$13, 100%, $E$13) + CHOOSE(CONTROL!$C$28, 0.0294, 0)</f>
        <v>88.686099999999996</v>
      </c>
      <c r="C779" s="4">
        <f>88.3442 * CHOOSE(CONTROL!$C$9, $C$13, 100%, $E$13) + CHOOSE(CONTROL!$C$28, 0.0294, 0)</f>
        <v>88.373599999999996</v>
      </c>
      <c r="D779" s="4">
        <f>80.5424 * CHOOSE(CONTROL!$C$9, $C$13, 100%, $E$13) + CHOOSE(CONTROL!$C$28, 0, 0)</f>
        <v>80.542400000000001</v>
      </c>
      <c r="E779" s="4">
        <f>491.3817337388 * CHOOSE(CONTROL!$C$9, $C$13, 100%, $E$13) + CHOOSE(CONTROL!$C$28, 0, 0)</f>
        <v>491.38173373879999</v>
      </c>
    </row>
    <row r="780" spans="1:5" ht="15">
      <c r="A780" s="13">
        <v>65623</v>
      </c>
      <c r="B780" s="4">
        <f>90.7344 * CHOOSE(CONTROL!$C$9, $C$13, 100%, $E$13) + CHOOSE(CONTROL!$C$28, 0.0294, 0)</f>
        <v>90.763799999999989</v>
      </c>
      <c r="C780" s="4">
        <f>90.4219 * CHOOSE(CONTROL!$C$9, $C$13, 100%, $E$13) + CHOOSE(CONTROL!$C$28, 0.0294, 0)</f>
        <v>90.451299999999989</v>
      </c>
      <c r="D780" s="4">
        <f>79.6992 * CHOOSE(CONTROL!$C$9, $C$13, 100%, $E$13) + CHOOSE(CONTROL!$C$28, 0, 0)</f>
        <v>79.699200000000005</v>
      </c>
      <c r="E780" s="4">
        <f>503.146441172412 * CHOOSE(CONTROL!$C$9, $C$13, 100%, $E$13) + CHOOSE(CONTROL!$C$28, 0, 0)</f>
        <v>503.14644117241198</v>
      </c>
    </row>
    <row r="781" spans="1:5" ht="15">
      <c r="A781" s="13">
        <v>65653</v>
      </c>
      <c r="B781" s="4">
        <f>87.1933 * CHOOSE(CONTROL!$C$9, $C$13, 100%, $E$13) + CHOOSE(CONTROL!$C$28, 0.0294, 0)</f>
        <v>87.222699999999989</v>
      </c>
      <c r="C781" s="4">
        <f>86.8808 * CHOOSE(CONTROL!$C$9, $C$13, 100%, $E$13) + CHOOSE(CONTROL!$C$28, 0.0294, 0)</f>
        <v>86.910199999999989</v>
      </c>
      <c r="D781" s="4">
        <f>79.3008 * CHOOSE(CONTROL!$C$9, $C$13, 100%, $E$13) + CHOOSE(CONTROL!$C$28, 0, 0)</f>
        <v>79.300799999999995</v>
      </c>
      <c r="E781" s="4">
        <f>483.095627506488 * CHOOSE(CONTROL!$C$9, $C$13, 100%, $E$13) + CHOOSE(CONTROL!$C$28, 0, 0)</f>
        <v>483.09562750648797</v>
      </c>
    </row>
    <row r="782" spans="1:5" ht="15">
      <c r="A782" s="13">
        <v>65684</v>
      </c>
      <c r="B782" s="4">
        <f>84.3585 * CHOOSE(CONTROL!$C$9, $C$13, 100%, $E$13) + CHOOSE(CONTROL!$C$28, 0.0003, 0)</f>
        <v>84.358800000000002</v>
      </c>
      <c r="C782" s="4">
        <f>84.046 * CHOOSE(CONTROL!$C$9, $C$13, 100%, $E$13) + CHOOSE(CONTROL!$C$28, 0.0003, 0)</f>
        <v>84.046300000000002</v>
      </c>
      <c r="D782" s="4">
        <f>78.234 * CHOOSE(CONTROL!$C$9, $C$13, 100%, $E$13) + CHOOSE(CONTROL!$C$28, 0, 0)</f>
        <v>78.233999999999995</v>
      </c>
      <c r="E782" s="4">
        <f>467.044553798613 * CHOOSE(CONTROL!$C$9, $C$13, 100%, $E$13) + CHOOSE(CONTROL!$C$28, 0, 0)</f>
        <v>467.04455379861298</v>
      </c>
    </row>
    <row r="783" spans="1:5" ht="15">
      <c r="A783" s="13">
        <v>65714</v>
      </c>
      <c r="B783" s="4">
        <f>82.5327 * CHOOSE(CONTROL!$C$9, $C$13, 100%, $E$13) + CHOOSE(CONTROL!$C$28, 0.0003, 0)</f>
        <v>82.533000000000001</v>
      </c>
      <c r="C783" s="4">
        <f>82.2202 * CHOOSE(CONTROL!$C$9, $C$13, 100%, $E$13) + CHOOSE(CONTROL!$C$28, 0.0003, 0)</f>
        <v>82.220500000000001</v>
      </c>
      <c r="D783" s="4">
        <f>77.8673 * CHOOSE(CONTROL!$C$9, $C$13, 100%, $E$13) + CHOOSE(CONTROL!$C$28, 0, 0)</f>
        <v>77.8673</v>
      </c>
      <c r="E783" s="4">
        <f>456.706463711601 * CHOOSE(CONTROL!$C$9, $C$13, 100%, $E$13) + CHOOSE(CONTROL!$C$28, 0, 0)</f>
        <v>456.70646371160097</v>
      </c>
    </row>
    <row r="784" spans="1:5" ht="15">
      <c r="A784" s="13">
        <v>65745</v>
      </c>
      <c r="B784" s="4">
        <f>81.2695 * CHOOSE(CONTROL!$C$9, $C$13, 100%, $E$13) + CHOOSE(CONTROL!$C$28, 0.0003, 0)</f>
        <v>81.269799999999989</v>
      </c>
      <c r="C784" s="4">
        <f>80.957 * CHOOSE(CONTROL!$C$9, $C$13, 100%, $E$13) + CHOOSE(CONTROL!$C$28, 0.0003, 0)</f>
        <v>80.957299999999989</v>
      </c>
      <c r="D784" s="4">
        <f>75.1673 * CHOOSE(CONTROL!$C$9, $C$13, 100%, $E$13) + CHOOSE(CONTROL!$C$28, 0, 0)</f>
        <v>75.167299999999997</v>
      </c>
      <c r="E784" s="4">
        <f>449.553834275219 * CHOOSE(CONTROL!$C$9, $C$13, 100%, $E$13) + CHOOSE(CONTROL!$C$28, 0, 0)</f>
        <v>449.553834275219</v>
      </c>
    </row>
    <row r="785" spans="1:5" ht="15">
      <c r="A785" s="13">
        <v>65776</v>
      </c>
      <c r="B785" s="4">
        <f>79.2171 * CHOOSE(CONTROL!$C$9, $C$13, 100%, $E$13) + CHOOSE(CONTROL!$C$28, 0.0003, 0)</f>
        <v>79.217399999999998</v>
      </c>
      <c r="C785" s="4">
        <f>78.9046 * CHOOSE(CONTROL!$C$9, $C$13, 100%, $E$13) + CHOOSE(CONTROL!$C$28, 0.0003, 0)</f>
        <v>78.904899999999998</v>
      </c>
      <c r="D785" s="4">
        <f>72.6858 * CHOOSE(CONTROL!$C$9, $C$13, 100%, $E$13) + CHOOSE(CONTROL!$C$28, 0, 0)</f>
        <v>72.6858</v>
      </c>
      <c r="E785" s="4">
        <f>436.662343421584 * CHOOSE(CONTROL!$C$9, $C$13, 100%, $E$13) + CHOOSE(CONTROL!$C$28, 0, 0)</f>
        <v>436.66234342158401</v>
      </c>
    </row>
    <row r="786" spans="1:5" ht="15">
      <c r="A786" s="13">
        <v>65805</v>
      </c>
      <c r="B786" s="4">
        <f>81.0535 * CHOOSE(CONTROL!$C$9, $C$13, 100%, $E$13) + CHOOSE(CONTROL!$C$28, 0.0003, 0)</f>
        <v>81.053799999999995</v>
      </c>
      <c r="C786" s="4">
        <f>80.741 * CHOOSE(CONTROL!$C$9, $C$13, 100%, $E$13) + CHOOSE(CONTROL!$C$28, 0.0003, 0)</f>
        <v>80.741299999999995</v>
      </c>
      <c r="D786" s="4">
        <f>75.1847 * CHOOSE(CONTROL!$C$9, $C$13, 100%, $E$13) + CHOOSE(CONTROL!$C$28, 0, 0)</f>
        <v>75.184700000000007</v>
      </c>
      <c r="E786" s="4">
        <f>447.030428301164 * CHOOSE(CONTROL!$C$9, $C$13, 100%, $E$13) + CHOOSE(CONTROL!$C$28, 0, 0)</f>
        <v>447.03042830116402</v>
      </c>
    </row>
    <row r="787" spans="1:5" ht="15">
      <c r="A787" s="13">
        <v>65836</v>
      </c>
      <c r="B787" s="4">
        <f>85.876 * CHOOSE(CONTROL!$C$9, $C$13, 100%, $E$13) + CHOOSE(CONTROL!$C$28, 0.0003, 0)</f>
        <v>85.876300000000001</v>
      </c>
      <c r="C787" s="4">
        <f>85.5635 * CHOOSE(CONTROL!$C$9, $C$13, 100%, $E$13) + CHOOSE(CONTROL!$C$28, 0.0003, 0)</f>
        <v>85.563800000000001</v>
      </c>
      <c r="D787" s="4">
        <f>79.0965 * CHOOSE(CONTROL!$C$9, $C$13, 100%, $E$13) + CHOOSE(CONTROL!$C$28, 0, 0)</f>
        <v>79.096500000000006</v>
      </c>
      <c r="E787" s="4">
        <f>474.257570188434 * CHOOSE(CONTROL!$C$9, $C$13, 100%, $E$13) + CHOOSE(CONTROL!$C$28, 0, 0)</f>
        <v>474.25757018843399</v>
      </c>
    </row>
    <row r="788" spans="1:5" ht="15">
      <c r="A788" s="13">
        <v>65866</v>
      </c>
      <c r="B788" s="4">
        <f>89.3025 * CHOOSE(CONTROL!$C$9, $C$13, 100%, $E$13) + CHOOSE(CONTROL!$C$28, 0.0003, 0)</f>
        <v>89.302799999999991</v>
      </c>
      <c r="C788" s="4">
        <f>88.99 * CHOOSE(CONTROL!$C$9, $C$13, 100%, $E$13) + CHOOSE(CONTROL!$C$28, 0.0003, 0)</f>
        <v>88.990299999999991</v>
      </c>
      <c r="D788" s="4">
        <f>81.3499 * CHOOSE(CONTROL!$C$9, $C$13, 100%, $E$13) + CHOOSE(CONTROL!$C$28, 0, 0)</f>
        <v>81.349900000000005</v>
      </c>
      <c r="E788" s="4">
        <f>493.602817348713 * CHOOSE(CONTROL!$C$9, $C$13, 100%, $E$13) + CHOOSE(CONTROL!$C$28, 0, 0)</f>
        <v>493.60281734871302</v>
      </c>
    </row>
    <row r="789" spans="1:5" ht="15">
      <c r="A789" s="13">
        <v>65897</v>
      </c>
      <c r="B789" s="4">
        <f>91.3959 * CHOOSE(CONTROL!$C$9, $C$13, 100%, $E$13) + CHOOSE(CONTROL!$C$28, 0.0294, 0)</f>
        <v>91.425299999999993</v>
      </c>
      <c r="C789" s="4">
        <f>91.0834 * CHOOSE(CONTROL!$C$9, $C$13, 100%, $E$13) + CHOOSE(CONTROL!$C$28, 0.0294, 0)</f>
        <v>91.112799999999993</v>
      </c>
      <c r="D789" s="4">
        <f>80.4595 * CHOOSE(CONTROL!$C$9, $C$13, 100%, $E$13) + CHOOSE(CONTROL!$C$28, 0, 0)</f>
        <v>80.459500000000006</v>
      </c>
      <c r="E789" s="4">
        <f>505.422299722777 * CHOOSE(CONTROL!$C$9, $C$13, 100%, $E$13) + CHOOSE(CONTROL!$C$28, 0, 0)</f>
        <v>505.42229972277698</v>
      </c>
    </row>
    <row r="790" spans="1:5" ht="15">
      <c r="A790" s="13">
        <v>65927</v>
      </c>
      <c r="B790" s="4">
        <f>91.6792 * CHOOSE(CONTROL!$C$9, $C$13, 100%, $E$13) + CHOOSE(CONTROL!$C$28, 0.0294, 0)</f>
        <v>91.70859999999999</v>
      </c>
      <c r="C790" s="4">
        <f>91.3667 * CHOOSE(CONTROL!$C$9, $C$13, 100%, $E$13) + CHOOSE(CONTROL!$C$28, 0.0294, 0)</f>
        <v>91.39609999999999</v>
      </c>
      <c r="D790" s="4">
        <f>81.1847 * CHOOSE(CONTROL!$C$9, $C$13, 100%, $E$13) + CHOOSE(CONTROL!$C$28, 0, 0)</f>
        <v>81.184700000000007</v>
      </c>
      <c r="E790" s="4">
        <f>507.021524739848 * CHOOSE(CONTROL!$C$9, $C$13, 100%, $E$13) + CHOOSE(CONTROL!$C$28, 0, 0)</f>
        <v>507.02152473984802</v>
      </c>
    </row>
    <row r="791" spans="1:5" ht="15">
      <c r="A791" s="13">
        <v>65958</v>
      </c>
      <c r="B791" s="4">
        <f>91.6506 * CHOOSE(CONTROL!$C$9, $C$13, 100%, $E$13) + CHOOSE(CONTROL!$C$28, 0.0294, 0)</f>
        <v>91.679999999999993</v>
      </c>
      <c r="C791" s="4">
        <f>91.3381 * CHOOSE(CONTROL!$C$9, $C$13, 100%, $E$13) + CHOOSE(CONTROL!$C$28, 0.0294, 0)</f>
        <v>91.367499999999993</v>
      </c>
      <c r="D791" s="4">
        <f>82.4931 * CHOOSE(CONTROL!$C$9, $C$13, 100%, $E$13) + CHOOSE(CONTROL!$C$28, 0, 0)</f>
        <v>82.493099999999998</v>
      </c>
      <c r="E791" s="4">
        <f>506.860258351572 * CHOOSE(CONTROL!$C$9, $C$13, 100%, $E$13) + CHOOSE(CONTROL!$C$28, 0, 0)</f>
        <v>506.86025835157199</v>
      </c>
    </row>
    <row r="792" spans="1:5" ht="15">
      <c r="A792" s="13">
        <v>65989</v>
      </c>
      <c r="B792" s="4">
        <f>93.8 * CHOOSE(CONTROL!$C$9, $C$13, 100%, $E$13) + CHOOSE(CONTROL!$C$28, 0.0294, 0)</f>
        <v>93.829399999999993</v>
      </c>
      <c r="C792" s="4">
        <f>93.4875 * CHOOSE(CONTROL!$C$9, $C$13, 100%, $E$13) + CHOOSE(CONTROL!$C$28, 0.0294, 0)</f>
        <v>93.516899999999993</v>
      </c>
      <c r="D792" s="4">
        <f>81.629 * CHOOSE(CONTROL!$C$9, $C$13, 100%, $E$13) + CHOOSE(CONTROL!$C$28, 0, 0)</f>
        <v>81.629000000000005</v>
      </c>
      <c r="E792" s="4">
        <f>518.995554069343 * CHOOSE(CONTROL!$C$9, $C$13, 100%, $E$13) + CHOOSE(CONTROL!$C$28, 0, 0)</f>
        <v>518.99555406934303</v>
      </c>
    </row>
    <row r="793" spans="1:5" ht="15">
      <c r="A793" s="13">
        <v>66019</v>
      </c>
      <c r="B793" s="4">
        <f>90.1368 * CHOOSE(CONTROL!$C$9, $C$13, 100%, $E$13) + CHOOSE(CONTROL!$C$28, 0.0294, 0)</f>
        <v>90.166199999999989</v>
      </c>
      <c r="C793" s="4">
        <f>89.8243 * CHOOSE(CONTROL!$C$9, $C$13, 100%, $E$13) + CHOOSE(CONTROL!$C$28, 0.0294, 0)</f>
        <v>89.853699999999989</v>
      </c>
      <c r="D793" s="4">
        <f>81.2207 * CHOOSE(CONTROL!$C$9, $C$13, 100%, $E$13) + CHOOSE(CONTROL!$C$28, 0, 0)</f>
        <v>81.220699999999994</v>
      </c>
      <c r="E793" s="4">
        <f>498.313139772942 * CHOOSE(CONTROL!$C$9, $C$13, 100%, $E$13) + CHOOSE(CONTROL!$C$28, 0, 0)</f>
        <v>498.31313977294201</v>
      </c>
    </row>
    <row r="794" spans="1:5" ht="15">
      <c r="A794" s="13">
        <v>66050</v>
      </c>
      <c r="B794" s="4">
        <f>87.2042 * CHOOSE(CONTROL!$C$9, $C$13, 100%, $E$13) + CHOOSE(CONTROL!$C$28, 0.0003, 0)</f>
        <v>87.204499999999996</v>
      </c>
      <c r="C794" s="4">
        <f>86.8917 * CHOOSE(CONTROL!$C$9, $C$13, 100%, $E$13) + CHOOSE(CONTROL!$C$28, 0.0003, 0)</f>
        <v>86.891999999999996</v>
      </c>
      <c r="D794" s="4">
        <f>80.1275 * CHOOSE(CONTROL!$C$9, $C$13, 100%, $E$13) + CHOOSE(CONTROL!$C$28, 0, 0)</f>
        <v>80.127499999999998</v>
      </c>
      <c r="E794" s="4">
        <f>481.756457243269 * CHOOSE(CONTROL!$C$9, $C$13, 100%, $E$13) + CHOOSE(CONTROL!$C$28, 0, 0)</f>
        <v>481.75645724326898</v>
      </c>
    </row>
    <row r="795" spans="1:5" ht="15">
      <c r="A795" s="13">
        <v>66080</v>
      </c>
      <c r="B795" s="4">
        <f>85.3154 * CHOOSE(CONTROL!$C$9, $C$13, 100%, $E$13) + CHOOSE(CONTROL!$C$28, 0.0003, 0)</f>
        <v>85.315699999999993</v>
      </c>
      <c r="C795" s="4">
        <f>85.0029 * CHOOSE(CONTROL!$C$9, $C$13, 100%, $E$13) + CHOOSE(CONTROL!$C$28, 0.0003, 0)</f>
        <v>85.003199999999993</v>
      </c>
      <c r="D795" s="4">
        <f>79.7517 * CHOOSE(CONTROL!$C$9, $C$13, 100%, $E$13) + CHOOSE(CONTROL!$C$28, 0, 0)</f>
        <v>79.7517</v>
      </c>
      <c r="E795" s="4">
        <f>471.092717318517 * CHOOSE(CONTROL!$C$9, $C$13, 100%, $E$13) + CHOOSE(CONTROL!$C$28, 0, 0)</f>
        <v>471.09271731851697</v>
      </c>
    </row>
    <row r="796" spans="1:5" ht="15">
      <c r="A796" s="13">
        <v>66111</v>
      </c>
      <c r="B796" s="4">
        <f>84.0087 * CHOOSE(CONTROL!$C$9, $C$13, 100%, $E$13) + CHOOSE(CONTROL!$C$28, 0.0003, 0)</f>
        <v>84.009</v>
      </c>
      <c r="C796" s="4">
        <f>83.6962 * CHOOSE(CONTROL!$C$9, $C$13, 100%, $E$13) + CHOOSE(CONTROL!$C$28, 0.0003, 0)</f>
        <v>83.6965</v>
      </c>
      <c r="D796" s="4">
        <f>76.9847 * CHOOSE(CONTROL!$C$9, $C$13, 100%, $E$13) + CHOOSE(CONTROL!$C$28, 0, 0)</f>
        <v>76.984700000000004</v>
      </c>
      <c r="E796" s="4">
        <f>463.714780054888 * CHOOSE(CONTROL!$C$9, $C$13, 100%, $E$13) + CHOOSE(CONTROL!$C$28, 0, 0)</f>
        <v>463.71478005488802</v>
      </c>
    </row>
    <row r="797" spans="1:5" ht="15">
      <c r="A797" s="13">
        <v>66142</v>
      </c>
      <c r="B797" s="4">
        <f>81.8854 * CHOOSE(CONTROL!$C$9, $C$13, 100%, $E$13) + CHOOSE(CONTROL!$C$28, 0.0003, 0)</f>
        <v>81.8857</v>
      </c>
      <c r="C797" s="4">
        <f>81.5729 * CHOOSE(CONTROL!$C$9, $C$13, 100%, $E$13) + CHOOSE(CONTROL!$C$28, 0.0003, 0)</f>
        <v>81.5732</v>
      </c>
      <c r="D797" s="4">
        <f>74.4417 * CHOOSE(CONTROL!$C$9, $C$13, 100%, $E$13) + CHOOSE(CONTROL!$C$28, 0, 0)</f>
        <v>74.441699999999997</v>
      </c>
      <c r="E797" s="4">
        <f>450.417207239363 * CHOOSE(CONTROL!$C$9, $C$13, 100%, $E$13) + CHOOSE(CONTROL!$C$28, 0, 0)</f>
        <v>450.41720723936299</v>
      </c>
    </row>
    <row r="798" spans="1:5" ht="15">
      <c r="A798" s="13">
        <v>66170</v>
      </c>
      <c r="B798" s="4">
        <f>83.7852 * CHOOSE(CONTROL!$C$9, $C$13, 100%, $E$13) + CHOOSE(CONTROL!$C$28, 0.0003, 0)</f>
        <v>83.785499999999999</v>
      </c>
      <c r="C798" s="4">
        <f>83.4727 * CHOOSE(CONTROL!$C$9, $C$13, 100%, $E$13) + CHOOSE(CONTROL!$C$28, 0.0003, 0)</f>
        <v>83.472999999999999</v>
      </c>
      <c r="D798" s="4">
        <f>77.0026 * CHOOSE(CONTROL!$C$9, $C$13, 100%, $E$13) + CHOOSE(CONTROL!$C$28, 0, 0)</f>
        <v>77.002600000000001</v>
      </c>
      <c r="E798" s="4">
        <f>461.11188679265 * CHOOSE(CONTROL!$C$9, $C$13, 100%, $E$13) + CHOOSE(CONTROL!$C$28, 0, 0)</f>
        <v>461.11188679265001</v>
      </c>
    </row>
    <row r="799" spans="1:5" ht="15">
      <c r="A799" s="13">
        <v>66201</v>
      </c>
      <c r="B799" s="4">
        <f>88.774 * CHOOSE(CONTROL!$C$9, $C$13, 100%, $E$13) + CHOOSE(CONTROL!$C$28, 0.0003, 0)</f>
        <v>88.774299999999997</v>
      </c>
      <c r="C799" s="4">
        <f>88.4615 * CHOOSE(CONTROL!$C$9, $C$13, 100%, $E$13) + CHOOSE(CONTROL!$C$28, 0.0003, 0)</f>
        <v>88.461799999999997</v>
      </c>
      <c r="D799" s="4">
        <f>81.0114 * CHOOSE(CONTROL!$C$9, $C$13, 100%, $E$13) + CHOOSE(CONTROL!$C$28, 0, 0)</f>
        <v>81.011399999999995</v>
      </c>
      <c r="E799" s="4">
        <f>489.196683649369 * CHOOSE(CONTROL!$C$9, $C$13, 100%, $E$13) + CHOOSE(CONTROL!$C$28, 0, 0)</f>
        <v>489.19668364936899</v>
      </c>
    </row>
    <row r="800" spans="1:5" ht="15">
      <c r="A800" s="13">
        <v>66231</v>
      </c>
      <c r="B800" s="4">
        <f>92.3187 * CHOOSE(CONTROL!$C$9, $C$13, 100%, $E$13) + CHOOSE(CONTROL!$C$28, 0.0003, 0)</f>
        <v>92.319000000000003</v>
      </c>
      <c r="C800" s="4">
        <f>92.0062 * CHOOSE(CONTROL!$C$9, $C$13, 100%, $E$13) + CHOOSE(CONTROL!$C$28, 0.0003, 0)</f>
        <v>92.006500000000003</v>
      </c>
      <c r="D800" s="4">
        <f>83.3207 * CHOOSE(CONTROL!$C$9, $C$13, 100%, $E$13) + CHOOSE(CONTROL!$C$28, 0, 0)</f>
        <v>83.320700000000002</v>
      </c>
      <c r="E800" s="4">
        <f>509.151306095197 * CHOOSE(CONTROL!$C$9, $C$13, 100%, $E$13) + CHOOSE(CONTROL!$C$28, 0, 0)</f>
        <v>509.15130609519701</v>
      </c>
    </row>
    <row r="801" spans="1:5" ht="15">
      <c r="A801" s="13">
        <v>66262</v>
      </c>
      <c r="B801" s="4">
        <f>94.4844 * CHOOSE(CONTROL!$C$9, $C$13, 100%, $E$13) + CHOOSE(CONTROL!$C$28, 0.0294, 0)</f>
        <v>94.513799999999989</v>
      </c>
      <c r="C801" s="4">
        <f>94.1719 * CHOOSE(CONTROL!$C$9, $C$13, 100%, $E$13) + CHOOSE(CONTROL!$C$28, 0.0294, 0)</f>
        <v>94.201299999999989</v>
      </c>
      <c r="D801" s="4">
        <f>82.4082 * CHOOSE(CONTROL!$C$9, $C$13, 100%, $E$13) + CHOOSE(CONTROL!$C$28, 0, 0)</f>
        <v>82.408199999999994</v>
      </c>
      <c r="E801" s="4">
        <f>521.343102164045 * CHOOSE(CONTROL!$C$9, $C$13, 100%, $E$13) + CHOOSE(CONTROL!$C$28, 0, 0)</f>
        <v>521.34310216404504</v>
      </c>
    </row>
    <row r="802" spans="1:5" ht="15">
      <c r="A802" s="13">
        <v>66292</v>
      </c>
      <c r="B802" s="4">
        <f>94.7774 * CHOOSE(CONTROL!$C$9, $C$13, 100%, $E$13) + CHOOSE(CONTROL!$C$28, 0.0294, 0)</f>
        <v>94.806799999999996</v>
      </c>
      <c r="C802" s="4">
        <f>94.4649 * CHOOSE(CONTROL!$C$9, $C$13, 100%, $E$13) + CHOOSE(CONTROL!$C$28, 0.0294, 0)</f>
        <v>94.494299999999996</v>
      </c>
      <c r="D802" s="4">
        <f>83.1513 * CHOOSE(CONTROL!$C$9, $C$13, 100%, $E$13) + CHOOSE(CONTROL!$C$28, 0, 0)</f>
        <v>83.151300000000006</v>
      </c>
      <c r="E802" s="4">
        <f>522.992702769153 * CHOOSE(CONTROL!$C$9, $C$13, 100%, $E$13) + CHOOSE(CONTROL!$C$28, 0, 0)</f>
        <v>522.99270276915297</v>
      </c>
    </row>
    <row r="803" spans="1:5" ht="15">
      <c r="A803" s="13">
        <v>66323</v>
      </c>
      <c r="B803" s="4">
        <f>94.7479 * CHOOSE(CONTROL!$C$9, $C$13, 100%, $E$13) + CHOOSE(CONTROL!$C$28, 0.0294, 0)</f>
        <v>94.777299999999997</v>
      </c>
      <c r="C803" s="4">
        <f>94.4354 * CHOOSE(CONTROL!$C$9, $C$13, 100%, $E$13) + CHOOSE(CONTROL!$C$28, 0.0294, 0)</f>
        <v>94.464799999999997</v>
      </c>
      <c r="D803" s="4">
        <f>84.4923 * CHOOSE(CONTROL!$C$9, $C$13, 100%, $E$13) + CHOOSE(CONTROL!$C$28, 0, 0)</f>
        <v>84.4923</v>
      </c>
      <c r="E803" s="4">
        <f>522.826356489646 * CHOOSE(CONTROL!$C$9, $C$13, 100%, $E$13) + CHOOSE(CONTROL!$C$28, 0, 0)</f>
        <v>522.82635648964595</v>
      </c>
    </row>
    <row r="804" spans="1:5" ht="15">
      <c r="A804" s="13">
        <v>66354</v>
      </c>
      <c r="B804" s="4">
        <f>96.9715 * CHOOSE(CONTROL!$C$9, $C$13, 100%, $E$13) + CHOOSE(CONTROL!$C$28, 0.0294, 0)</f>
        <v>97.000900000000001</v>
      </c>
      <c r="C804" s="4">
        <f>96.659 * CHOOSE(CONTROL!$C$9, $C$13, 100%, $E$13) + CHOOSE(CONTROL!$C$28, 0.0294, 0)</f>
        <v>96.688400000000001</v>
      </c>
      <c r="D804" s="4">
        <f>83.6067 * CHOOSE(CONTROL!$C$9, $C$13, 100%, $E$13) + CHOOSE(CONTROL!$C$28, 0, 0)</f>
        <v>83.606700000000004</v>
      </c>
      <c r="E804" s="4">
        <f>535.343914022528 * CHOOSE(CONTROL!$C$9, $C$13, 100%, $E$13) + CHOOSE(CONTROL!$C$28, 0, 0)</f>
        <v>535.343914022528</v>
      </c>
    </row>
    <row r="805" spans="1:5" ht="15">
      <c r="A805" s="13">
        <v>66384</v>
      </c>
      <c r="B805" s="4">
        <f>93.1818 * CHOOSE(CONTROL!$C$9, $C$13, 100%, $E$13) + CHOOSE(CONTROL!$C$28, 0.0294, 0)</f>
        <v>93.211199999999991</v>
      </c>
      <c r="C805" s="4">
        <f>92.8693 * CHOOSE(CONTROL!$C$9, $C$13, 100%, $E$13) + CHOOSE(CONTROL!$C$28, 0.0294, 0)</f>
        <v>92.898699999999991</v>
      </c>
      <c r="D805" s="4">
        <f>83.1883 * CHOOSE(CONTROL!$C$9, $C$13, 100%, $E$13) + CHOOSE(CONTROL!$C$28, 0, 0)</f>
        <v>83.188299999999998</v>
      </c>
      <c r="E805" s="4">
        <f>514.01000367579 * CHOOSE(CONTROL!$C$9, $C$13, 100%, $E$13) + CHOOSE(CONTROL!$C$28, 0, 0)</f>
        <v>514.01000367579002</v>
      </c>
    </row>
    <row r="806" spans="1:5" ht="15">
      <c r="A806" s="13">
        <v>66415</v>
      </c>
      <c r="B806" s="4">
        <f>90.1481 * CHOOSE(CONTROL!$C$9, $C$13, 100%, $E$13) + CHOOSE(CONTROL!$C$28, 0.0003, 0)</f>
        <v>90.148399999999995</v>
      </c>
      <c r="C806" s="4">
        <f>89.8356 * CHOOSE(CONTROL!$C$9, $C$13, 100%, $E$13) + CHOOSE(CONTROL!$C$28, 0.0003, 0)</f>
        <v>89.835899999999995</v>
      </c>
      <c r="D806" s="4">
        <f>82.068 * CHOOSE(CONTROL!$C$9, $C$13, 100%, $E$13) + CHOOSE(CONTROL!$C$28, 0, 0)</f>
        <v>82.067999999999998</v>
      </c>
      <c r="E806" s="4">
        <f>496.931785646432 * CHOOSE(CONTROL!$C$9, $C$13, 100%, $E$13) + CHOOSE(CONTROL!$C$28, 0, 0)</f>
        <v>496.93178564643199</v>
      </c>
    </row>
    <row r="807" spans="1:5" ht="15">
      <c r="A807" s="13">
        <v>66445</v>
      </c>
      <c r="B807" s="4">
        <f>88.1941 * CHOOSE(CONTROL!$C$9, $C$13, 100%, $E$13) + CHOOSE(CONTROL!$C$28, 0.0003, 0)</f>
        <v>88.194400000000002</v>
      </c>
      <c r="C807" s="4">
        <f>87.8816 * CHOOSE(CONTROL!$C$9, $C$13, 100%, $E$13) + CHOOSE(CONTROL!$C$28, 0.0003, 0)</f>
        <v>87.881900000000002</v>
      </c>
      <c r="D807" s="4">
        <f>81.6829 * CHOOSE(CONTROL!$C$9, $C$13, 100%, $E$13) + CHOOSE(CONTROL!$C$28, 0, 0)</f>
        <v>81.682900000000004</v>
      </c>
      <c r="E807" s="4">
        <f>485.93213791405 * CHOOSE(CONTROL!$C$9, $C$13, 100%, $E$13) + CHOOSE(CONTROL!$C$28, 0, 0)</f>
        <v>485.93213791404997</v>
      </c>
    </row>
    <row r="808" spans="1:5" ht="15">
      <c r="A808" s="13">
        <v>66476</v>
      </c>
      <c r="B808" s="4">
        <f>86.8423 * CHOOSE(CONTROL!$C$9, $C$13, 100%, $E$13) + CHOOSE(CONTROL!$C$28, 0.0003, 0)</f>
        <v>86.84259999999999</v>
      </c>
      <c r="C808" s="4">
        <f>86.5298 * CHOOSE(CONTROL!$C$9, $C$13, 100%, $E$13) + CHOOSE(CONTROL!$C$28, 0.0003, 0)</f>
        <v>86.53009999999999</v>
      </c>
      <c r="D808" s="4">
        <f>78.8473 * CHOOSE(CONTROL!$C$9, $C$13, 100%, $E$13) + CHOOSE(CONTROL!$C$28, 0, 0)</f>
        <v>78.847300000000004</v>
      </c>
      <c r="E808" s="4">
        <f>478.321795626617 * CHOOSE(CONTROL!$C$9, $C$13, 100%, $E$13) + CHOOSE(CONTROL!$C$28, 0, 0)</f>
        <v>478.32179562661702</v>
      </c>
    </row>
    <row r="809" spans="1:5" ht="15">
      <c r="A809" s="13">
        <v>66507</v>
      </c>
      <c r="B809" s="4">
        <f>84.6458 * CHOOSE(CONTROL!$C$9, $C$13, 100%, $E$13) + CHOOSE(CONTROL!$C$28, 0.0003, 0)</f>
        <v>84.64609999999999</v>
      </c>
      <c r="C809" s="4">
        <f>84.3333 * CHOOSE(CONTROL!$C$9, $C$13, 100%, $E$13) + CHOOSE(CONTROL!$C$28, 0.0003, 0)</f>
        <v>84.33359999999999</v>
      </c>
      <c r="D809" s="4">
        <f>76.2411 * CHOOSE(CONTROL!$C$9, $C$13, 100%, $E$13) + CHOOSE(CONTROL!$C$28, 0, 0)</f>
        <v>76.241100000000003</v>
      </c>
      <c r="E809" s="4">
        <f>464.605349267403 * CHOOSE(CONTROL!$C$9, $C$13, 100%, $E$13) + CHOOSE(CONTROL!$C$28, 0, 0)</f>
        <v>464.60534926740303</v>
      </c>
    </row>
    <row r="810" spans="1:5" ht="15">
      <c r="A810" s="13">
        <v>66535</v>
      </c>
      <c r="B810" s="4">
        <f>86.6111 * CHOOSE(CONTROL!$C$9, $C$13, 100%, $E$13) + CHOOSE(CONTROL!$C$28, 0.0003, 0)</f>
        <v>86.611399999999989</v>
      </c>
      <c r="C810" s="4">
        <f>86.2986 * CHOOSE(CONTROL!$C$9, $C$13, 100%, $E$13) + CHOOSE(CONTROL!$C$28, 0.0003, 0)</f>
        <v>86.298899999999989</v>
      </c>
      <c r="D810" s="4">
        <f>78.8655 * CHOOSE(CONTROL!$C$9, $C$13, 100%, $E$13) + CHOOSE(CONTROL!$C$28, 0, 0)</f>
        <v>78.865499999999997</v>
      </c>
      <c r="E810" s="4">
        <f>475.636911226619 * CHOOSE(CONTROL!$C$9, $C$13, 100%, $E$13) + CHOOSE(CONTROL!$C$28, 0, 0)</f>
        <v>475.63691122661902</v>
      </c>
    </row>
    <row r="811" spans="1:5" ht="15">
      <c r="A811" s="13">
        <v>66566</v>
      </c>
      <c r="B811" s="4">
        <f>91.7721 * CHOOSE(CONTROL!$C$9, $C$13, 100%, $E$13) + CHOOSE(CONTROL!$C$28, 0.0003, 0)</f>
        <v>91.77239999999999</v>
      </c>
      <c r="C811" s="4">
        <f>91.4596 * CHOOSE(CONTROL!$C$9, $C$13, 100%, $E$13) + CHOOSE(CONTROL!$C$28, 0.0003, 0)</f>
        <v>91.45989999999999</v>
      </c>
      <c r="D811" s="4">
        <f>82.9738 * CHOOSE(CONTROL!$C$9, $C$13, 100%, $E$13) + CHOOSE(CONTROL!$C$28, 0, 0)</f>
        <v>82.973799999999997</v>
      </c>
      <c r="E811" s="4">
        <f>504.606379184325 * CHOOSE(CONTROL!$C$9, $C$13, 100%, $E$13) + CHOOSE(CONTROL!$C$28, 0, 0)</f>
        <v>504.60637918432502</v>
      </c>
    </row>
    <row r="812" spans="1:5" ht="15">
      <c r="A812" s="13">
        <v>66596</v>
      </c>
      <c r="B812" s="4">
        <f>95.439 * CHOOSE(CONTROL!$C$9, $C$13, 100%, $E$13) + CHOOSE(CONTROL!$C$28, 0.0003, 0)</f>
        <v>95.439299999999989</v>
      </c>
      <c r="C812" s="4">
        <f>95.1265 * CHOOSE(CONTROL!$C$9, $C$13, 100%, $E$13) + CHOOSE(CONTROL!$C$28, 0.0003, 0)</f>
        <v>95.126799999999989</v>
      </c>
      <c r="D812" s="4">
        <f>85.3403 * CHOOSE(CONTROL!$C$9, $C$13, 100%, $E$13) + CHOOSE(CONTROL!$C$28, 0, 0)</f>
        <v>85.340299999999999</v>
      </c>
      <c r="E812" s="4">
        <f>525.189572237196 * CHOOSE(CONTROL!$C$9, $C$13, 100%, $E$13) + CHOOSE(CONTROL!$C$28, 0, 0)</f>
        <v>525.18957223719599</v>
      </c>
    </row>
    <row r="813" spans="1:5" ht="15">
      <c r="A813" s="13">
        <v>66627</v>
      </c>
      <c r="B813" s="4">
        <f>97.6794 * CHOOSE(CONTROL!$C$9, $C$13, 100%, $E$13) + CHOOSE(CONTROL!$C$28, 0.0294, 0)</f>
        <v>97.708799999999997</v>
      </c>
      <c r="C813" s="4">
        <f>97.3669 * CHOOSE(CONTROL!$C$9, $C$13, 100%, $E$13) + CHOOSE(CONTROL!$C$28, 0.0294, 0)</f>
        <v>97.396299999999997</v>
      </c>
      <c r="D813" s="4">
        <f>84.4052 * CHOOSE(CONTROL!$C$9, $C$13, 100%, $E$13) + CHOOSE(CONTROL!$C$28, 0, 0)</f>
        <v>84.405199999999994</v>
      </c>
      <c r="E813" s="4">
        <f>537.765409882212 * CHOOSE(CONTROL!$C$9, $C$13, 100%, $E$13) + CHOOSE(CONTROL!$C$28, 0, 0)</f>
        <v>537.765409882212</v>
      </c>
    </row>
    <row r="814" spans="1:5" ht="15">
      <c r="A814" s="13">
        <v>66657</v>
      </c>
      <c r="B814" s="4">
        <f>97.9826 * CHOOSE(CONTROL!$C$9, $C$13, 100%, $E$13) + CHOOSE(CONTROL!$C$28, 0.0294, 0)</f>
        <v>98.012</v>
      </c>
      <c r="C814" s="4">
        <f>97.6701 * CHOOSE(CONTROL!$C$9, $C$13, 100%, $E$13) + CHOOSE(CONTROL!$C$28, 0.0294, 0)</f>
        <v>97.6995</v>
      </c>
      <c r="D814" s="4">
        <f>85.1668 * CHOOSE(CONTROL!$C$9, $C$13, 100%, $E$13) + CHOOSE(CONTROL!$C$28, 0, 0)</f>
        <v>85.166799999999995</v>
      </c>
      <c r="E814" s="4">
        <f>539.466972906381 * CHOOSE(CONTROL!$C$9, $C$13, 100%, $E$13) + CHOOSE(CONTROL!$C$28, 0, 0)</f>
        <v>539.46697290638099</v>
      </c>
    </row>
    <row r="815" spans="1:5" ht="15">
      <c r="A815" s="13">
        <v>66688</v>
      </c>
      <c r="B815" s="4">
        <f>97.952 * CHOOSE(CONTROL!$C$9, $C$13, 100%, $E$13) + CHOOSE(CONTROL!$C$28, 0.0294, 0)</f>
        <v>97.981399999999994</v>
      </c>
      <c r="C815" s="4">
        <f>97.6395 * CHOOSE(CONTROL!$C$9, $C$13, 100%, $E$13) + CHOOSE(CONTROL!$C$28, 0.0294, 0)</f>
        <v>97.668899999999994</v>
      </c>
      <c r="D815" s="4">
        <f>86.541 * CHOOSE(CONTROL!$C$9, $C$13, 100%, $E$13) + CHOOSE(CONTROL!$C$28, 0, 0)</f>
        <v>86.540999999999997</v>
      </c>
      <c r="E815" s="4">
        <f>539.29538671907 * CHOOSE(CONTROL!$C$9, $C$13, 100%, $E$13) + CHOOSE(CONTROL!$C$28, 0, 0)</f>
        <v>539.29538671907005</v>
      </c>
    </row>
    <row r="816" spans="1:5" ht="15">
      <c r="A816" s="13">
        <v>66719</v>
      </c>
      <c r="B816" s="4">
        <f>100.2523 * CHOOSE(CONTROL!$C$9, $C$13, 100%, $E$13) + CHOOSE(CONTROL!$C$28, 0.0294, 0)</f>
        <v>100.2817</v>
      </c>
      <c r="C816" s="4">
        <f>99.9398 * CHOOSE(CONTROL!$C$9, $C$13, 100%, $E$13) + CHOOSE(CONTROL!$C$28, 0.0294, 0)</f>
        <v>99.969200000000001</v>
      </c>
      <c r="D816" s="4">
        <f>85.6335 * CHOOSE(CONTROL!$C$9, $C$13, 100%, $E$13) + CHOOSE(CONTROL!$C$28, 0, 0)</f>
        <v>85.633499999999998</v>
      </c>
      <c r="E816" s="4">
        <f>552.207247314237 * CHOOSE(CONTROL!$C$9, $C$13, 100%, $E$13) + CHOOSE(CONTROL!$C$28, 0, 0)</f>
        <v>552.20724731423695</v>
      </c>
    </row>
    <row r="817" spans="1:5" ht="15">
      <c r="A817" s="13">
        <v>66749</v>
      </c>
      <c r="B817" s="4">
        <f>96.3319 * CHOOSE(CONTROL!$C$9, $C$13, 100%, $E$13) + CHOOSE(CONTROL!$C$28, 0.0294, 0)</f>
        <v>96.3613</v>
      </c>
      <c r="C817" s="4">
        <f>96.0194 * CHOOSE(CONTROL!$C$9, $C$13, 100%, $E$13) + CHOOSE(CONTROL!$C$28, 0.0294, 0)</f>
        <v>96.0488</v>
      </c>
      <c r="D817" s="4">
        <f>85.2047 * CHOOSE(CONTROL!$C$9, $C$13, 100%, $E$13) + CHOOSE(CONTROL!$C$28, 0, 0)</f>
        <v>85.204700000000003</v>
      </c>
      <c r="E817" s="4">
        <f>530.201318791577 * CHOOSE(CONTROL!$C$9, $C$13, 100%, $E$13) + CHOOSE(CONTROL!$C$28, 0, 0)</f>
        <v>530.20131879157702</v>
      </c>
    </row>
    <row r="818" spans="1:5" ht="15">
      <c r="A818" s="13">
        <v>66780</v>
      </c>
      <c r="B818" s="4">
        <f>93.1935 * CHOOSE(CONTROL!$C$9, $C$13, 100%, $E$13) + CHOOSE(CONTROL!$C$28, 0.0003, 0)</f>
        <v>93.193799999999996</v>
      </c>
      <c r="C818" s="4">
        <f>92.881 * CHOOSE(CONTROL!$C$9, $C$13, 100%, $E$13) + CHOOSE(CONTROL!$C$28, 0.0003, 0)</f>
        <v>92.881299999999996</v>
      </c>
      <c r="D818" s="4">
        <f>84.0566 * CHOOSE(CONTROL!$C$9, $C$13, 100%, $E$13) + CHOOSE(CONTROL!$C$28, 0, 0)</f>
        <v>84.056600000000003</v>
      </c>
      <c r="E818" s="4">
        <f>512.585136894295 * CHOOSE(CONTROL!$C$9, $C$13, 100%, $E$13) + CHOOSE(CONTROL!$C$28, 0, 0)</f>
        <v>512.58513689429503</v>
      </c>
    </row>
    <row r="819" spans="1:5" ht="15">
      <c r="A819" s="13">
        <v>66810</v>
      </c>
      <c r="B819" s="4">
        <f>91.1721 * CHOOSE(CONTROL!$C$9, $C$13, 100%, $E$13) + CHOOSE(CONTROL!$C$28, 0.0003, 0)</f>
        <v>91.172399999999996</v>
      </c>
      <c r="C819" s="4">
        <f>90.8596 * CHOOSE(CONTROL!$C$9, $C$13, 100%, $E$13) + CHOOSE(CONTROL!$C$28, 0.0003, 0)</f>
        <v>90.859899999999996</v>
      </c>
      <c r="D819" s="4">
        <f>83.6619 * CHOOSE(CONTROL!$C$9, $C$13, 100%, $E$13) + CHOOSE(CONTROL!$C$28, 0, 0)</f>
        <v>83.661900000000003</v>
      </c>
      <c r="E819" s="4">
        <f>501.239000258342 * CHOOSE(CONTROL!$C$9, $C$13, 100%, $E$13) + CHOOSE(CONTROL!$C$28, 0, 0)</f>
        <v>501.239000258342</v>
      </c>
    </row>
    <row r="820" spans="1:5" ht="15">
      <c r="A820" s="13">
        <v>66841</v>
      </c>
      <c r="B820" s="4">
        <f>89.7736 * CHOOSE(CONTROL!$C$9, $C$13, 100%, $E$13) + CHOOSE(CONTROL!$C$28, 0.0003, 0)</f>
        <v>89.773899999999998</v>
      </c>
      <c r="C820" s="4">
        <f>89.4611 * CHOOSE(CONTROL!$C$9, $C$13, 100%, $E$13) + CHOOSE(CONTROL!$C$28, 0.0003, 0)</f>
        <v>89.461399999999998</v>
      </c>
      <c r="D820" s="4">
        <f>80.756 * CHOOSE(CONTROL!$C$9, $C$13, 100%, $E$13) + CHOOSE(CONTROL!$C$28, 0, 0)</f>
        <v>80.756</v>
      </c>
      <c r="E820" s="4">
        <f>493.388932188856 * CHOOSE(CONTROL!$C$9, $C$13, 100%, $E$13) + CHOOSE(CONTROL!$C$28, 0, 0)</f>
        <v>493.38893218885602</v>
      </c>
    </row>
    <row r="821" spans="1:5" ht="15">
      <c r="A821" s="13">
        <v>66872</v>
      </c>
      <c r="B821" s="4">
        <f>87.5013 * CHOOSE(CONTROL!$C$9, $C$13, 100%, $E$13) + CHOOSE(CONTROL!$C$28, 0.0003, 0)</f>
        <v>87.501599999999996</v>
      </c>
      <c r="C821" s="4">
        <f>87.1888 * CHOOSE(CONTROL!$C$9, $C$13, 100%, $E$13) + CHOOSE(CONTROL!$C$28, 0.0003, 0)</f>
        <v>87.189099999999996</v>
      </c>
      <c r="D821" s="4">
        <f>78.0852 * CHOOSE(CONTROL!$C$9, $C$13, 100%, $E$13) + CHOOSE(CONTROL!$C$28, 0, 0)</f>
        <v>78.0852</v>
      </c>
      <c r="E821" s="4">
        <f>479.240417769327 * CHOOSE(CONTROL!$C$9, $C$13, 100%, $E$13) + CHOOSE(CONTROL!$C$28, 0, 0)</f>
        <v>479.240417769327</v>
      </c>
    </row>
    <row r="822" spans="1:5" ht="15">
      <c r="A822" s="13">
        <v>66900</v>
      </c>
      <c r="B822" s="4">
        <f>89.5345 * CHOOSE(CONTROL!$C$9, $C$13, 100%, $E$13) + CHOOSE(CONTROL!$C$28, 0.0003, 0)</f>
        <v>89.53479999999999</v>
      </c>
      <c r="C822" s="4">
        <f>89.222 * CHOOSE(CONTROL!$C$9, $C$13, 100%, $E$13) + CHOOSE(CONTROL!$C$28, 0.0003, 0)</f>
        <v>89.22229999999999</v>
      </c>
      <c r="D822" s="4">
        <f>80.7747 * CHOOSE(CONTROL!$C$9, $C$13, 100%, $E$13) + CHOOSE(CONTROL!$C$28, 0, 0)</f>
        <v>80.774699999999996</v>
      </c>
      <c r="E822" s="4">
        <f>490.619473930257 * CHOOSE(CONTROL!$C$9, $C$13, 100%, $E$13) + CHOOSE(CONTROL!$C$28, 0, 0)</f>
        <v>490.61947393025702</v>
      </c>
    </row>
    <row r="823" spans="1:5" ht="15">
      <c r="A823" s="13">
        <v>66931</v>
      </c>
      <c r="B823" s="4">
        <f>94.8735 * CHOOSE(CONTROL!$C$9, $C$13, 100%, $E$13) + CHOOSE(CONTROL!$C$28, 0.0003, 0)</f>
        <v>94.873800000000003</v>
      </c>
      <c r="C823" s="4">
        <f>94.561 * CHOOSE(CONTROL!$C$9, $C$13, 100%, $E$13) + CHOOSE(CONTROL!$C$28, 0.0003, 0)</f>
        <v>94.561300000000003</v>
      </c>
      <c r="D823" s="4">
        <f>84.9849 * CHOOSE(CONTROL!$C$9, $C$13, 100%, $E$13) + CHOOSE(CONTROL!$C$28, 0, 0)</f>
        <v>84.984899999999996</v>
      </c>
      <c r="E823" s="4">
        <f>520.501480128631 * CHOOSE(CONTROL!$C$9, $C$13, 100%, $E$13) + CHOOSE(CONTROL!$C$28, 0, 0)</f>
        <v>520.50148012863099</v>
      </c>
    </row>
    <row r="824" spans="1:5" ht="15">
      <c r="A824" s="13">
        <v>66961</v>
      </c>
      <c r="B824" s="4">
        <f>98.667 * CHOOSE(CONTROL!$C$9, $C$13, 100%, $E$13) + CHOOSE(CONTROL!$C$28, 0.0003, 0)</f>
        <v>98.667299999999997</v>
      </c>
      <c r="C824" s="4">
        <f>98.3545 * CHOOSE(CONTROL!$C$9, $C$13, 100%, $E$13) + CHOOSE(CONTROL!$C$28, 0.0003, 0)</f>
        <v>98.354799999999997</v>
      </c>
      <c r="D824" s="4">
        <f>87.4101 * CHOOSE(CONTROL!$C$9, $C$13, 100%, $E$13) + CHOOSE(CONTROL!$C$28, 0, 0)</f>
        <v>87.4101</v>
      </c>
      <c r="E824" s="4">
        <f>541.733043762668 * CHOOSE(CONTROL!$C$9, $C$13, 100%, $E$13) + CHOOSE(CONTROL!$C$28, 0, 0)</f>
        <v>541.73304376266799</v>
      </c>
    </row>
    <row r="825" spans="1:5" ht="15">
      <c r="A825" s="13">
        <v>66992</v>
      </c>
      <c r="B825" s="4">
        <f>100.9847 * CHOOSE(CONTROL!$C$9, $C$13, 100%, $E$13) + CHOOSE(CONTROL!$C$28, 0.0294, 0)</f>
        <v>101.0141</v>
      </c>
      <c r="C825" s="4">
        <f>100.6722 * CHOOSE(CONTROL!$C$9, $C$13, 100%, $E$13) + CHOOSE(CONTROL!$C$28, 0.0294, 0)</f>
        <v>100.7016</v>
      </c>
      <c r="D825" s="4">
        <f>86.4518 * CHOOSE(CONTROL!$C$9, $C$13, 100%, $E$13) + CHOOSE(CONTROL!$C$28, 0, 0)</f>
        <v>86.451800000000006</v>
      </c>
      <c r="E825" s="4">
        <f>554.705020293502 * CHOOSE(CONTROL!$C$9, $C$13, 100%, $E$13) + CHOOSE(CONTROL!$C$28, 0, 0)</f>
        <v>554.705020293502</v>
      </c>
    </row>
    <row r="826" spans="1:5" ht="15">
      <c r="A826" s="13">
        <v>67022</v>
      </c>
      <c r="B826" s="4">
        <f>101.2983 * CHOOSE(CONTROL!$C$9, $C$13, 100%, $E$13) + CHOOSE(CONTROL!$C$28, 0.0294, 0)</f>
        <v>101.32769999999999</v>
      </c>
      <c r="C826" s="4">
        <f>100.9858 * CHOOSE(CONTROL!$C$9, $C$13, 100%, $E$13) + CHOOSE(CONTROL!$C$28, 0.0294, 0)</f>
        <v>101.01519999999999</v>
      </c>
      <c r="D826" s="4">
        <f>87.2323 * CHOOSE(CONTROL!$C$9, $C$13, 100%, $E$13) + CHOOSE(CONTROL!$C$28, 0, 0)</f>
        <v>87.232299999999995</v>
      </c>
      <c r="E826" s="4">
        <f>556.460182552932 * CHOOSE(CONTROL!$C$9, $C$13, 100%, $E$13) + CHOOSE(CONTROL!$C$28, 0, 0)</f>
        <v>556.460182552932</v>
      </c>
    </row>
    <row r="827" spans="1:5" ht="15">
      <c r="A827" s="13">
        <v>67053</v>
      </c>
      <c r="B827" s="4">
        <f>101.2667 * CHOOSE(CONTROL!$C$9, $C$13, 100%, $E$13) + CHOOSE(CONTROL!$C$28, 0.0294, 0)</f>
        <v>101.2961</v>
      </c>
      <c r="C827" s="4">
        <f>100.9542 * CHOOSE(CONTROL!$C$9, $C$13, 100%, $E$13) + CHOOSE(CONTROL!$C$28, 0.0294, 0)</f>
        <v>100.9836</v>
      </c>
      <c r="D827" s="4">
        <f>88.6405 * CHOOSE(CONTROL!$C$9, $C$13, 100%, $E$13) + CHOOSE(CONTROL!$C$28, 0, 0)</f>
        <v>88.640500000000003</v>
      </c>
      <c r="E827" s="4">
        <f>556.283191400721 * CHOOSE(CONTROL!$C$9, $C$13, 100%, $E$13) + CHOOSE(CONTROL!$C$28, 0, 0)</f>
        <v>556.28319140072097</v>
      </c>
    </row>
    <row r="828" spans="1:5" ht="15">
      <c r="A828" s="13">
        <v>67084</v>
      </c>
      <c r="B828" s="4">
        <f>103.6463 * CHOOSE(CONTROL!$C$9, $C$13, 100%, $E$13) + CHOOSE(CONTROL!$C$28, 0.0294, 0)</f>
        <v>103.67569999999999</v>
      </c>
      <c r="C828" s="4">
        <f>103.3338 * CHOOSE(CONTROL!$C$9, $C$13, 100%, $E$13) + CHOOSE(CONTROL!$C$28, 0.0294, 0)</f>
        <v>103.36319999999999</v>
      </c>
      <c r="D828" s="4">
        <f>87.7105 * CHOOSE(CONTROL!$C$9, $C$13, 100%, $E$13) + CHOOSE(CONTROL!$C$28, 0, 0)</f>
        <v>87.710499999999996</v>
      </c>
      <c r="E828" s="4">
        <f>569.601775604636 * CHOOSE(CONTROL!$C$9, $C$13, 100%, $E$13) + CHOOSE(CONTROL!$C$28, 0, 0)</f>
        <v>569.60177560463603</v>
      </c>
    </row>
    <row r="829" spans="1:5" ht="15">
      <c r="A829" s="13">
        <v>67114</v>
      </c>
      <c r="B829" s="4">
        <f>99.5906 * CHOOSE(CONTROL!$C$9, $C$13, 100%, $E$13) + CHOOSE(CONTROL!$C$28, 0.0294, 0)</f>
        <v>99.61999999999999</v>
      </c>
      <c r="C829" s="4">
        <f>99.2781 * CHOOSE(CONTROL!$C$9, $C$13, 100%, $E$13) + CHOOSE(CONTROL!$C$28, 0.0294, 0)</f>
        <v>99.30749999999999</v>
      </c>
      <c r="D829" s="4">
        <f>87.2711 * CHOOSE(CONTROL!$C$9, $C$13, 100%, $E$13) + CHOOSE(CONTROL!$C$28, 0, 0)</f>
        <v>87.271100000000004</v>
      </c>
      <c r="E829" s="4">
        <f>546.902660333512 * CHOOSE(CONTROL!$C$9, $C$13, 100%, $E$13) + CHOOSE(CONTROL!$C$28, 0, 0)</f>
        <v>546.90266033351202</v>
      </c>
    </row>
    <row r="830" spans="1:5" ht="15">
      <c r="A830" s="13">
        <v>67145</v>
      </c>
      <c r="B830" s="4">
        <f>96.344 * CHOOSE(CONTROL!$C$9, $C$13, 100%, $E$13) + CHOOSE(CONTROL!$C$28, 0.0003, 0)</f>
        <v>96.34429999999999</v>
      </c>
      <c r="C830" s="4">
        <f>96.0315 * CHOOSE(CONTROL!$C$9, $C$13, 100%, $E$13) + CHOOSE(CONTROL!$C$28, 0.0003, 0)</f>
        <v>96.03179999999999</v>
      </c>
      <c r="D830" s="4">
        <f>86.0945 * CHOOSE(CONTROL!$C$9, $C$13, 100%, $E$13) + CHOOSE(CONTROL!$C$28, 0, 0)</f>
        <v>86.094499999999996</v>
      </c>
      <c r="E830" s="4">
        <f>528.731568706465 * CHOOSE(CONTROL!$C$9, $C$13, 100%, $E$13) + CHOOSE(CONTROL!$C$28, 0, 0)</f>
        <v>528.73156870646505</v>
      </c>
    </row>
    <row r="831" spans="1:5" ht="15">
      <c r="A831" s="13">
        <v>67175</v>
      </c>
      <c r="B831" s="4">
        <f>94.2529 * CHOOSE(CONTROL!$C$9, $C$13, 100%, $E$13) + CHOOSE(CONTROL!$C$28, 0.0003, 0)</f>
        <v>94.253199999999993</v>
      </c>
      <c r="C831" s="4">
        <f>93.9404 * CHOOSE(CONTROL!$C$9, $C$13, 100%, $E$13) + CHOOSE(CONTROL!$C$28, 0.0003, 0)</f>
        <v>93.940699999999993</v>
      </c>
      <c r="D831" s="4">
        <f>85.69 * CHOOSE(CONTROL!$C$9, $C$13, 100%, $E$13) + CHOOSE(CONTROL!$C$28, 0, 0)</f>
        <v>85.69</v>
      </c>
      <c r="E831" s="4">
        <f>517.02802876648 * CHOOSE(CONTROL!$C$9, $C$13, 100%, $E$13) + CHOOSE(CONTROL!$C$28, 0, 0)</f>
        <v>517.02802876648002</v>
      </c>
    </row>
    <row r="832" spans="1:5" ht="15">
      <c r="A832" s="13">
        <v>67206</v>
      </c>
      <c r="B832" s="4">
        <f>92.8061 * CHOOSE(CONTROL!$C$9, $C$13, 100%, $E$13) + CHOOSE(CONTROL!$C$28, 0.0003, 0)</f>
        <v>92.806399999999996</v>
      </c>
      <c r="C832" s="4">
        <f>92.4936 * CHOOSE(CONTROL!$C$9, $C$13, 100%, $E$13) + CHOOSE(CONTROL!$C$28, 0.0003, 0)</f>
        <v>92.493899999999996</v>
      </c>
      <c r="D832" s="4">
        <f>82.7121 * CHOOSE(CONTROL!$C$9, $C$13, 100%, $E$13) + CHOOSE(CONTROL!$C$28, 0, 0)</f>
        <v>82.712100000000007</v>
      </c>
      <c r="E832" s="4">
        <f>508.930683552805 * CHOOSE(CONTROL!$C$9, $C$13, 100%, $E$13) + CHOOSE(CONTROL!$C$28, 0, 0)</f>
        <v>508.93068355280502</v>
      </c>
    </row>
    <row r="833" spans="1:5" ht="15">
      <c r="A833" s="13">
        <v>67237</v>
      </c>
      <c r="B833" s="4">
        <f>90.4555 * CHOOSE(CONTROL!$C$9, $C$13, 100%, $E$13) + CHOOSE(CONTROL!$C$28, 0.0003, 0)</f>
        <v>90.455799999999996</v>
      </c>
      <c r="C833" s="4">
        <f>90.143 * CHOOSE(CONTROL!$C$9, $C$13, 100%, $E$13) + CHOOSE(CONTROL!$C$28, 0.0003, 0)</f>
        <v>90.143299999999996</v>
      </c>
      <c r="D833" s="4">
        <f>79.975 * CHOOSE(CONTROL!$C$9, $C$13, 100%, $E$13) + CHOOSE(CONTROL!$C$28, 0, 0)</f>
        <v>79.974999999999994</v>
      </c>
      <c r="E833" s="4">
        <f>494.33649092906 * CHOOSE(CONTROL!$C$9, $C$13, 100%, $E$13) + CHOOSE(CONTROL!$C$28, 0, 0)</f>
        <v>494.33649092906001</v>
      </c>
    </row>
    <row r="834" spans="1:5" ht="15">
      <c r="A834" s="13">
        <v>67266</v>
      </c>
      <c r="B834" s="4">
        <f>92.5587 * CHOOSE(CONTROL!$C$9, $C$13, 100%, $E$13) + CHOOSE(CONTROL!$C$28, 0.0003, 0)</f>
        <v>92.558999999999997</v>
      </c>
      <c r="C834" s="4">
        <f>92.2462 * CHOOSE(CONTROL!$C$9, $C$13, 100%, $E$13) + CHOOSE(CONTROL!$C$28, 0.0003, 0)</f>
        <v>92.246499999999997</v>
      </c>
      <c r="D834" s="4">
        <f>82.7312 * CHOOSE(CONTROL!$C$9, $C$13, 100%, $E$13) + CHOOSE(CONTROL!$C$28, 0, 0)</f>
        <v>82.731200000000001</v>
      </c>
      <c r="E834" s="4">
        <f>506.07398735906 * CHOOSE(CONTROL!$C$9, $C$13, 100%, $E$13) + CHOOSE(CONTROL!$C$28, 0, 0)</f>
        <v>506.07398735906003</v>
      </c>
    </row>
    <row r="835" spans="1:5" ht="15">
      <c r="A835" s="13">
        <v>67297</v>
      </c>
      <c r="B835" s="4">
        <f>98.082 * CHOOSE(CONTROL!$C$9, $C$13, 100%, $E$13) + CHOOSE(CONTROL!$C$28, 0.0003, 0)</f>
        <v>98.082299999999989</v>
      </c>
      <c r="C835" s="4">
        <f>97.7695 * CHOOSE(CONTROL!$C$9, $C$13, 100%, $E$13) + CHOOSE(CONTROL!$C$28, 0.0003, 0)</f>
        <v>97.769799999999989</v>
      </c>
      <c r="D835" s="4">
        <f>87.0458 * CHOOSE(CONTROL!$C$9, $C$13, 100%, $E$13) + CHOOSE(CONTROL!$C$28, 0, 0)</f>
        <v>87.0458</v>
      </c>
      <c r="E835" s="4">
        <f>536.897276752683 * CHOOSE(CONTROL!$C$9, $C$13, 100%, $E$13) + CHOOSE(CONTROL!$C$28, 0, 0)</f>
        <v>536.89727675268296</v>
      </c>
    </row>
    <row r="836" spans="1:5" ht="15">
      <c r="A836" s="13">
        <v>67327</v>
      </c>
      <c r="B836" s="4">
        <f>102.0063 * CHOOSE(CONTROL!$C$9, $C$13, 100%, $E$13) + CHOOSE(CONTROL!$C$28, 0.0003, 0)</f>
        <v>102.00659999999999</v>
      </c>
      <c r="C836" s="4">
        <f>101.6938 * CHOOSE(CONTROL!$C$9, $C$13, 100%, $E$13) + CHOOSE(CONTROL!$C$28, 0.0003, 0)</f>
        <v>101.69409999999999</v>
      </c>
      <c r="D836" s="4">
        <f>89.5312 * CHOOSE(CONTROL!$C$9, $C$13, 100%, $E$13) + CHOOSE(CONTROL!$C$28, 0, 0)</f>
        <v>89.531199999999998</v>
      </c>
      <c r="E836" s="4">
        <f>558.797634641192 * CHOOSE(CONTROL!$C$9, $C$13, 100%, $E$13) + CHOOSE(CONTROL!$C$28, 0, 0)</f>
        <v>558.79763464119196</v>
      </c>
    </row>
    <row r="837" spans="1:5" ht="15">
      <c r="A837" s="13">
        <v>67358</v>
      </c>
      <c r="B837" s="4">
        <f>104.404 * CHOOSE(CONTROL!$C$9, $C$13, 100%, $E$13) + CHOOSE(CONTROL!$C$28, 0.0294, 0)</f>
        <v>104.43339999999999</v>
      </c>
      <c r="C837" s="4">
        <f>104.0915 * CHOOSE(CONTROL!$C$9, $C$13, 100%, $E$13) + CHOOSE(CONTROL!$C$28, 0.0294, 0)</f>
        <v>104.12089999999999</v>
      </c>
      <c r="D837" s="4">
        <f>88.5491 * CHOOSE(CONTROL!$C$9, $C$13, 100%, $E$13) + CHOOSE(CONTROL!$C$28, 0, 0)</f>
        <v>88.549099999999996</v>
      </c>
      <c r="E837" s="4">
        <f>572.178228432747 * CHOOSE(CONTROL!$C$9, $C$13, 100%, $E$13) + CHOOSE(CONTROL!$C$28, 0, 0)</f>
        <v>572.17822843274701</v>
      </c>
    </row>
    <row r="838" spans="1:5" ht="15">
      <c r="A838" s="13">
        <v>67388</v>
      </c>
      <c r="B838" s="4">
        <f>104.7284 * CHOOSE(CONTROL!$C$9, $C$13, 100%, $E$13) + CHOOSE(CONTROL!$C$28, 0.0294, 0)</f>
        <v>104.75779999999999</v>
      </c>
      <c r="C838" s="4">
        <f>104.4159 * CHOOSE(CONTROL!$C$9, $C$13, 100%, $E$13) + CHOOSE(CONTROL!$C$28, 0.0294, 0)</f>
        <v>104.44529999999999</v>
      </c>
      <c r="D838" s="4">
        <f>89.3489 * CHOOSE(CONTROL!$C$9, $C$13, 100%, $E$13) + CHOOSE(CONTROL!$C$28, 0, 0)</f>
        <v>89.3489</v>
      </c>
      <c r="E838" s="4">
        <f>573.98867830335 * CHOOSE(CONTROL!$C$9, $C$13, 100%, $E$13) + CHOOSE(CONTROL!$C$28, 0, 0)</f>
        <v>573.98867830334996</v>
      </c>
    </row>
    <row r="839" spans="1:5" ht="15">
      <c r="A839" s="13">
        <v>67419</v>
      </c>
      <c r="B839" s="4">
        <f>104.6957 * CHOOSE(CONTROL!$C$9, $C$13, 100%, $E$13) + CHOOSE(CONTROL!$C$28, 0.0294, 0)</f>
        <v>104.7251</v>
      </c>
      <c r="C839" s="4">
        <f>104.3832 * CHOOSE(CONTROL!$C$9, $C$13, 100%, $E$13) + CHOOSE(CONTROL!$C$28, 0.0294, 0)</f>
        <v>104.4126</v>
      </c>
      <c r="D839" s="4">
        <f>90.7921 * CHOOSE(CONTROL!$C$9, $C$13, 100%, $E$13) + CHOOSE(CONTROL!$C$28, 0, 0)</f>
        <v>90.792100000000005</v>
      </c>
      <c r="E839" s="4">
        <f>573.806111929844 * CHOOSE(CONTROL!$C$9, $C$13, 100%, $E$13) + CHOOSE(CONTROL!$C$28, 0, 0)</f>
        <v>573.80611192984395</v>
      </c>
    </row>
    <row r="840" spans="1:5" ht="15">
      <c r="A840" s="13">
        <v>67450</v>
      </c>
      <c r="B840" s="4">
        <f>107.1574 * CHOOSE(CONTROL!$C$9, $C$13, 100%, $E$13) + CHOOSE(CONTROL!$C$28, 0.0294, 0)</f>
        <v>107.18679999999999</v>
      </c>
      <c r="C840" s="4">
        <f>106.8449 * CHOOSE(CONTROL!$C$9, $C$13, 100%, $E$13) + CHOOSE(CONTROL!$C$28, 0.0294, 0)</f>
        <v>106.87429999999999</v>
      </c>
      <c r="D840" s="4">
        <f>89.839 * CHOOSE(CONTROL!$C$9, $C$13, 100%, $E$13) + CHOOSE(CONTROL!$C$28, 0, 0)</f>
        <v>89.838999999999999</v>
      </c>
      <c r="E840" s="4">
        <f>587.544231536182 * CHOOSE(CONTROL!$C$9, $C$13, 100%, $E$13) + CHOOSE(CONTROL!$C$28, 0, 0)</f>
        <v>587.544231536182</v>
      </c>
    </row>
    <row r="841" spans="1:5" ht="15">
      <c r="A841" s="13">
        <v>67480</v>
      </c>
      <c r="B841" s="4">
        <f>102.9618 * CHOOSE(CONTROL!$C$9, $C$13, 100%, $E$13) + CHOOSE(CONTROL!$C$28, 0.0294, 0)</f>
        <v>102.99119999999999</v>
      </c>
      <c r="C841" s="4">
        <f>102.6493 * CHOOSE(CONTROL!$C$9, $C$13, 100%, $E$13) + CHOOSE(CONTROL!$C$28, 0.0294, 0)</f>
        <v>102.67869999999999</v>
      </c>
      <c r="D841" s="4">
        <f>89.3887 * CHOOSE(CONTROL!$C$9, $C$13, 100%, $E$13) + CHOOSE(CONTROL!$C$28, 0, 0)</f>
        <v>89.3887</v>
      </c>
      <c r="E841" s="4">
        <f>564.130094134018 * CHOOSE(CONTROL!$C$9, $C$13, 100%, $E$13) + CHOOSE(CONTROL!$C$28, 0, 0)</f>
        <v>564.13009413401801</v>
      </c>
    </row>
    <row r="842" spans="1:5" ht="15">
      <c r="A842" s="13">
        <v>67511</v>
      </c>
      <c r="B842" s="4">
        <f>99.6032 * CHOOSE(CONTROL!$C$9, $C$13, 100%, $E$13) + CHOOSE(CONTROL!$C$28, 0.0003, 0)</f>
        <v>99.603499999999997</v>
      </c>
      <c r="C842" s="4">
        <f>99.2907 * CHOOSE(CONTROL!$C$9, $C$13, 100%, $E$13) + CHOOSE(CONTROL!$C$28, 0.0003, 0)</f>
        <v>99.290999999999997</v>
      </c>
      <c r="D842" s="4">
        <f>88.183 * CHOOSE(CONTROL!$C$9, $C$13, 100%, $E$13) + CHOOSE(CONTROL!$C$28, 0, 0)</f>
        <v>88.183000000000007</v>
      </c>
      <c r="E842" s="4">
        <f>545.386613120719 * CHOOSE(CONTROL!$C$9, $C$13, 100%, $E$13) + CHOOSE(CONTROL!$C$28, 0, 0)</f>
        <v>545.38661312071895</v>
      </c>
    </row>
    <row r="843" spans="1:5" ht="15">
      <c r="A843" s="13">
        <v>67541</v>
      </c>
      <c r="B843" s="4">
        <f>97.4399 * CHOOSE(CONTROL!$C$9, $C$13, 100%, $E$13) + CHOOSE(CONTROL!$C$28, 0.0003, 0)</f>
        <v>97.44019999999999</v>
      </c>
      <c r="C843" s="4">
        <f>97.1274 * CHOOSE(CONTROL!$C$9, $C$13, 100%, $E$13) + CHOOSE(CONTROL!$C$28, 0.0003, 0)</f>
        <v>97.12769999999999</v>
      </c>
      <c r="D843" s="4">
        <f>87.7684 * CHOOSE(CONTROL!$C$9, $C$13, 100%, $E$13) + CHOOSE(CONTROL!$C$28, 0, 0)</f>
        <v>87.7684</v>
      </c>
      <c r="E843" s="4">
        <f>533.314411672624 * CHOOSE(CONTROL!$C$9, $C$13, 100%, $E$13) + CHOOSE(CONTROL!$C$28, 0, 0)</f>
        <v>533.31441167262403</v>
      </c>
    </row>
    <row r="844" spans="1:5" ht="15">
      <c r="A844" s="13">
        <v>67572</v>
      </c>
      <c r="B844" s="4">
        <f>95.9433 * CHOOSE(CONTROL!$C$9, $C$13, 100%, $E$13) + CHOOSE(CONTROL!$C$28, 0.0003, 0)</f>
        <v>95.943599999999989</v>
      </c>
      <c r="C844" s="4">
        <f>95.6308 * CHOOSE(CONTROL!$C$9, $C$13, 100%, $E$13) + CHOOSE(CONTROL!$C$28, 0.0003, 0)</f>
        <v>95.631099999999989</v>
      </c>
      <c r="D844" s="4">
        <f>84.7166 * CHOOSE(CONTROL!$C$9, $C$13, 100%, $E$13) + CHOOSE(CONTROL!$C$28, 0, 0)</f>
        <v>84.7166</v>
      </c>
      <c r="E844" s="4">
        <f>524.962000084718 * CHOOSE(CONTROL!$C$9, $C$13, 100%, $E$13) + CHOOSE(CONTROL!$C$28, 0, 0)</f>
        <v>524.96200008471806</v>
      </c>
    </row>
    <row r="845" spans="1:5" ht="15">
      <c r="A845" s="13">
        <v>67603</v>
      </c>
      <c r="B845" s="4">
        <f>93.5115 * CHOOSE(CONTROL!$C$9, $C$13, 100%, $E$13) + CHOOSE(CONTROL!$C$28, 0.0003, 0)</f>
        <v>93.511799999999994</v>
      </c>
      <c r="C845" s="4">
        <f>93.199 * CHOOSE(CONTROL!$C$9, $C$13, 100%, $E$13) + CHOOSE(CONTROL!$C$28, 0.0003, 0)</f>
        <v>93.199299999999994</v>
      </c>
      <c r="D845" s="4">
        <f>81.9117 * CHOOSE(CONTROL!$C$9, $C$13, 100%, $E$13) + CHOOSE(CONTROL!$C$28, 0, 0)</f>
        <v>81.911699999999996</v>
      </c>
      <c r="E845" s="4">
        <f>509.908090393326 * CHOOSE(CONTROL!$C$9, $C$13, 100%, $E$13) + CHOOSE(CONTROL!$C$28, 0, 0)</f>
        <v>509.90809039332601</v>
      </c>
    </row>
    <row r="846" spans="1:5" ht="15">
      <c r="A846" s="13">
        <v>67631</v>
      </c>
      <c r="B846" s="4">
        <f>95.6873 * CHOOSE(CONTROL!$C$9, $C$13, 100%, $E$13) + CHOOSE(CONTROL!$C$28, 0.0003, 0)</f>
        <v>95.687599999999989</v>
      </c>
      <c r="C846" s="4">
        <f>95.3748 * CHOOSE(CONTROL!$C$9, $C$13, 100%, $E$13) + CHOOSE(CONTROL!$C$28, 0.0003, 0)</f>
        <v>95.375099999999989</v>
      </c>
      <c r="D846" s="4">
        <f>84.7363 * CHOOSE(CONTROL!$C$9, $C$13, 100%, $E$13) + CHOOSE(CONTROL!$C$28, 0, 0)</f>
        <v>84.7363</v>
      </c>
      <c r="E846" s="4">
        <f>522.015317960871 * CHOOSE(CONTROL!$C$9, $C$13, 100%, $E$13) + CHOOSE(CONTROL!$C$28, 0, 0)</f>
        <v>522.01531796087102</v>
      </c>
    </row>
    <row r="847" spans="1:5" ht="15">
      <c r="A847" s="13">
        <v>67662</v>
      </c>
      <c r="B847" s="4">
        <f>101.4011 * CHOOSE(CONTROL!$C$9, $C$13, 100%, $E$13) + CHOOSE(CONTROL!$C$28, 0.0003, 0)</f>
        <v>101.4014</v>
      </c>
      <c r="C847" s="4">
        <f>101.0886 * CHOOSE(CONTROL!$C$9, $C$13, 100%, $E$13) + CHOOSE(CONTROL!$C$28, 0.0003, 0)</f>
        <v>101.0889</v>
      </c>
      <c r="D847" s="4">
        <f>89.1579 * CHOOSE(CONTROL!$C$9, $C$13, 100%, $E$13) + CHOOSE(CONTROL!$C$28, 0, 0)</f>
        <v>89.157899999999998</v>
      </c>
      <c r="E847" s="4">
        <f>553.809540970392 * CHOOSE(CONTROL!$C$9, $C$13, 100%, $E$13) + CHOOSE(CONTROL!$C$28, 0, 0)</f>
        <v>553.80954097039205</v>
      </c>
    </row>
    <row r="848" spans="1:5" ht="15">
      <c r="A848" s="13">
        <v>67692</v>
      </c>
      <c r="B848" s="4">
        <f>105.4608 * CHOOSE(CONTROL!$C$9, $C$13, 100%, $E$13) + CHOOSE(CONTROL!$C$28, 0.0003, 0)</f>
        <v>105.4611</v>
      </c>
      <c r="C848" s="4">
        <f>105.1483 * CHOOSE(CONTROL!$C$9, $C$13, 100%, $E$13) + CHOOSE(CONTROL!$C$28, 0.0003, 0)</f>
        <v>105.1486</v>
      </c>
      <c r="D848" s="4">
        <f>91.7049 * CHOOSE(CONTROL!$C$9, $C$13, 100%, $E$13) + CHOOSE(CONTROL!$C$28, 0, 0)</f>
        <v>91.704899999999995</v>
      </c>
      <c r="E848" s="4">
        <f>576.39976013239 * CHOOSE(CONTROL!$C$9, $C$13, 100%, $E$13) + CHOOSE(CONTROL!$C$28, 0, 0)</f>
        <v>576.39976013239004</v>
      </c>
    </row>
    <row r="849" spans="1:5" ht="15">
      <c r="A849" s="13">
        <v>67723</v>
      </c>
      <c r="B849" s="4">
        <f>107.9412 * CHOOSE(CONTROL!$C$9, $C$13, 100%, $E$13) + CHOOSE(CONTROL!$C$28, 0.0294, 0)</f>
        <v>107.97059999999999</v>
      </c>
      <c r="C849" s="4">
        <f>107.6287 * CHOOSE(CONTROL!$C$9, $C$13, 100%, $E$13) + CHOOSE(CONTROL!$C$28, 0.0294, 0)</f>
        <v>107.65809999999999</v>
      </c>
      <c r="D849" s="4">
        <f>90.6984 * CHOOSE(CONTROL!$C$9, $C$13, 100%, $E$13) + CHOOSE(CONTROL!$C$28, 0, 0)</f>
        <v>90.698400000000007</v>
      </c>
      <c r="E849" s="4">
        <f>590.201842628379 * CHOOSE(CONTROL!$C$9, $C$13, 100%, $E$13) + CHOOSE(CONTROL!$C$28, 0, 0)</f>
        <v>590.20184262837904</v>
      </c>
    </row>
    <row r="850" spans="1:5" ht="15">
      <c r="A850" s="13">
        <v>67753</v>
      </c>
      <c r="B850" s="4">
        <f>108.2768 * CHOOSE(CONTROL!$C$9, $C$13, 100%, $E$13) + CHOOSE(CONTROL!$C$28, 0.0294, 0)</f>
        <v>108.30619999999999</v>
      </c>
      <c r="C850" s="4">
        <f>107.9643 * CHOOSE(CONTROL!$C$9, $C$13, 100%, $E$13) + CHOOSE(CONTROL!$C$28, 0.0294, 0)</f>
        <v>107.99369999999999</v>
      </c>
      <c r="D850" s="4">
        <f>91.5181 * CHOOSE(CONTROL!$C$9, $C$13, 100%, $E$13) + CHOOSE(CONTROL!$C$28, 0, 0)</f>
        <v>91.518100000000004</v>
      </c>
      <c r="E850" s="4">
        <f>592.069321669905 * CHOOSE(CONTROL!$C$9, $C$13, 100%, $E$13) + CHOOSE(CONTROL!$C$28, 0, 0)</f>
        <v>592.06932166990498</v>
      </c>
    </row>
    <row r="851" spans="1:5" ht="15">
      <c r="A851" s="13">
        <v>67784</v>
      </c>
      <c r="B851" s="4">
        <f>108.243 * CHOOSE(CONTROL!$C$9, $C$13, 100%, $E$13) + CHOOSE(CONTROL!$C$28, 0.0294, 0)</f>
        <v>108.27239999999999</v>
      </c>
      <c r="C851" s="4">
        <f>107.9305 * CHOOSE(CONTROL!$C$9, $C$13, 100%, $E$13) + CHOOSE(CONTROL!$C$28, 0.0294, 0)</f>
        <v>107.95989999999999</v>
      </c>
      <c r="D851" s="4">
        <f>92.9971 * CHOOSE(CONTROL!$C$9, $C$13, 100%, $E$13) + CHOOSE(CONTROL!$C$28, 0, 0)</f>
        <v>92.997100000000003</v>
      </c>
      <c r="E851" s="4">
        <f>591.881004455634 * CHOOSE(CONTROL!$C$9, $C$13, 100%, $E$13) + CHOOSE(CONTROL!$C$28, 0, 0)</f>
        <v>591.88100445563396</v>
      </c>
    </row>
    <row r="852" spans="1:5" ht="15">
      <c r="A852" s="13">
        <v>67815</v>
      </c>
      <c r="B852" s="4">
        <f>110.7897 * CHOOSE(CONTROL!$C$9, $C$13, 100%, $E$13) + CHOOSE(CONTROL!$C$28, 0.0294, 0)</f>
        <v>110.81909999999999</v>
      </c>
      <c r="C852" s="4">
        <f>110.4772 * CHOOSE(CONTROL!$C$9, $C$13, 100%, $E$13) + CHOOSE(CONTROL!$C$28, 0.0294, 0)</f>
        <v>110.50659999999999</v>
      </c>
      <c r="D852" s="4">
        <f>92.0203 * CHOOSE(CONTROL!$C$9, $C$13, 100%, $E$13) + CHOOSE(CONTROL!$C$28, 0, 0)</f>
        <v>92.020300000000006</v>
      </c>
      <c r="E852" s="4">
        <f>606.051874829572 * CHOOSE(CONTROL!$C$9, $C$13, 100%, $E$13) + CHOOSE(CONTROL!$C$28, 0, 0)</f>
        <v>606.05187482957194</v>
      </c>
    </row>
    <row r="853" spans="1:5" ht="15">
      <c r="A853" s="13">
        <v>67845</v>
      </c>
      <c r="B853" s="4">
        <f>106.4493 * CHOOSE(CONTROL!$C$9, $C$13, 100%, $E$13) + CHOOSE(CONTROL!$C$28, 0.0294, 0)</f>
        <v>106.47869999999999</v>
      </c>
      <c r="C853" s="4">
        <f>106.1368 * CHOOSE(CONTROL!$C$9, $C$13, 100%, $E$13) + CHOOSE(CONTROL!$C$28, 0.0294, 0)</f>
        <v>106.16619999999999</v>
      </c>
      <c r="D853" s="4">
        <f>91.5589 * CHOOSE(CONTROL!$C$9, $C$13, 100%, $E$13) + CHOOSE(CONTROL!$C$28, 0, 0)</f>
        <v>91.558899999999994</v>
      </c>
      <c r="E853" s="4">
        <f>581.900192099239 * CHOOSE(CONTROL!$C$9, $C$13, 100%, $E$13) + CHOOSE(CONTROL!$C$28, 0, 0)</f>
        <v>581.90019209923901</v>
      </c>
    </row>
    <row r="854" spans="1:5" ht="15">
      <c r="A854" s="13">
        <v>67876</v>
      </c>
      <c r="B854" s="4">
        <f>102.9748 * CHOOSE(CONTROL!$C$9, $C$13, 100%, $E$13) + CHOOSE(CONTROL!$C$28, 0.0003, 0)</f>
        <v>102.9751</v>
      </c>
      <c r="C854" s="4">
        <f>102.6623 * CHOOSE(CONTROL!$C$9, $C$13, 100%, $E$13) + CHOOSE(CONTROL!$C$28, 0.0003, 0)</f>
        <v>102.6626</v>
      </c>
      <c r="D854" s="4">
        <f>90.3232 * CHOOSE(CONTROL!$C$9, $C$13, 100%, $E$13) + CHOOSE(CONTROL!$C$28, 0, 0)</f>
        <v>90.3232</v>
      </c>
      <c r="E854" s="4">
        <f>562.566291434022 * CHOOSE(CONTROL!$C$9, $C$13, 100%, $E$13) + CHOOSE(CONTROL!$C$28, 0, 0)</f>
        <v>562.56629143402199</v>
      </c>
    </row>
    <row r="855" spans="1:5" ht="15">
      <c r="A855" s="13">
        <v>67906</v>
      </c>
      <c r="B855" s="4">
        <f>100.7369 * CHOOSE(CONTROL!$C$9, $C$13, 100%, $E$13) + CHOOSE(CONTROL!$C$28, 0.0003, 0)</f>
        <v>100.7372</v>
      </c>
      <c r="C855" s="4">
        <f>100.4244 * CHOOSE(CONTROL!$C$9, $C$13, 100%, $E$13) + CHOOSE(CONTROL!$C$28, 0.0003, 0)</f>
        <v>100.4247</v>
      </c>
      <c r="D855" s="4">
        <f>89.8984 * CHOOSE(CONTROL!$C$9, $C$13, 100%, $E$13) + CHOOSE(CONTROL!$C$28, 0, 0)</f>
        <v>89.898399999999995</v>
      </c>
      <c r="E855" s="4">
        <f>550.113815640312 * CHOOSE(CONTROL!$C$9, $C$13, 100%, $E$13) + CHOOSE(CONTROL!$C$28, 0, 0)</f>
        <v>550.11381564031205</v>
      </c>
    </row>
    <row r="856" spans="1:5" ht="15">
      <c r="A856" s="13">
        <v>67937</v>
      </c>
      <c r="B856" s="4">
        <f>99.1886 * CHOOSE(CONTROL!$C$9, $C$13, 100%, $E$13) + CHOOSE(CONTROL!$C$28, 0.0003, 0)</f>
        <v>99.18889999999999</v>
      </c>
      <c r="C856" s="4">
        <f>98.8761 * CHOOSE(CONTROL!$C$9, $C$13, 100%, $E$13) + CHOOSE(CONTROL!$C$28, 0.0003, 0)</f>
        <v>98.87639999999999</v>
      </c>
      <c r="D856" s="4">
        <f>86.7709 * CHOOSE(CONTROL!$C$9, $C$13, 100%, $E$13) + CHOOSE(CONTROL!$C$28, 0, 0)</f>
        <v>86.770899999999997</v>
      </c>
      <c r="E856" s="4">
        <f>541.498303087387 * CHOOSE(CONTROL!$C$9, $C$13, 100%, $E$13) + CHOOSE(CONTROL!$C$28, 0, 0)</f>
        <v>541.49830308738694</v>
      </c>
    </row>
    <row r="857" spans="1:5" ht="15">
      <c r="A857" s="13">
        <v>67968</v>
      </c>
      <c r="B857" s="4">
        <f>96.6729 * CHOOSE(CONTROL!$C$9, $C$13, 100%, $E$13) + CHOOSE(CONTROL!$C$28, 0.0003, 0)</f>
        <v>96.673199999999994</v>
      </c>
      <c r="C857" s="4">
        <f>96.3604 * CHOOSE(CONTROL!$C$9, $C$13, 100%, $E$13) + CHOOSE(CONTROL!$C$28, 0.0003, 0)</f>
        <v>96.360699999999994</v>
      </c>
      <c r="D857" s="4">
        <f>83.8965 * CHOOSE(CONTROL!$C$9, $C$13, 100%, $E$13) + CHOOSE(CONTROL!$C$28, 0, 0)</f>
        <v>83.896500000000003</v>
      </c>
      <c r="E857" s="4">
        <f>525.970195240716 * CHOOSE(CONTROL!$C$9, $C$13, 100%, $E$13) + CHOOSE(CONTROL!$C$28, 0, 0)</f>
        <v>525.97019524071595</v>
      </c>
    </row>
    <row r="858" spans="1:5" ht="15">
      <c r="A858" s="13">
        <v>67996</v>
      </c>
      <c r="B858" s="4">
        <f>98.9238 * CHOOSE(CONTROL!$C$9, $C$13, 100%, $E$13) + CHOOSE(CONTROL!$C$28, 0.0003, 0)</f>
        <v>98.924099999999996</v>
      </c>
      <c r="C858" s="4">
        <f>98.6113 * CHOOSE(CONTROL!$C$9, $C$13, 100%, $E$13) + CHOOSE(CONTROL!$C$28, 0.0003, 0)</f>
        <v>98.611599999999996</v>
      </c>
      <c r="D858" s="4">
        <f>86.791 * CHOOSE(CONTROL!$C$9, $C$13, 100%, $E$13) + CHOOSE(CONTROL!$C$28, 0, 0)</f>
        <v>86.790999999999997</v>
      </c>
      <c r="E858" s="4">
        <f>538.458800476638 * CHOOSE(CONTROL!$C$9, $C$13, 100%, $E$13) + CHOOSE(CONTROL!$C$28, 0, 0)</f>
        <v>538.45880047663798</v>
      </c>
    </row>
    <row r="859" spans="1:5" ht="15">
      <c r="A859" s="13">
        <v>68027</v>
      </c>
      <c r="B859" s="4">
        <f>104.8347 * CHOOSE(CONTROL!$C$9, $C$13, 100%, $E$13) + CHOOSE(CONTROL!$C$28, 0.0003, 0)</f>
        <v>104.83499999999999</v>
      </c>
      <c r="C859" s="4">
        <f>104.5222 * CHOOSE(CONTROL!$C$9, $C$13, 100%, $E$13) + CHOOSE(CONTROL!$C$28, 0.0003, 0)</f>
        <v>104.52249999999999</v>
      </c>
      <c r="D859" s="4">
        <f>91.3223 * CHOOSE(CONTROL!$C$9, $C$13, 100%, $E$13) + CHOOSE(CONTROL!$C$28, 0, 0)</f>
        <v>91.322299999999998</v>
      </c>
      <c r="E859" s="4">
        <f>571.25454151096 * CHOOSE(CONTROL!$C$9, $C$13, 100%, $E$13) + CHOOSE(CONTROL!$C$28, 0, 0)</f>
        <v>571.25454151096005</v>
      </c>
    </row>
    <row r="860" spans="1:5" ht="15">
      <c r="A860" s="13">
        <v>68057</v>
      </c>
      <c r="B860" s="4">
        <f>109.0345 * CHOOSE(CONTROL!$C$9, $C$13, 100%, $E$13) + CHOOSE(CONTROL!$C$28, 0.0003, 0)</f>
        <v>109.03479999999999</v>
      </c>
      <c r="C860" s="4">
        <f>108.722 * CHOOSE(CONTROL!$C$9, $C$13, 100%, $E$13) + CHOOSE(CONTROL!$C$28, 0.0003, 0)</f>
        <v>108.72229999999999</v>
      </c>
      <c r="D860" s="4">
        <f>93.9324 * CHOOSE(CONTROL!$C$9, $C$13, 100%, $E$13) + CHOOSE(CONTROL!$C$28, 0, 0)</f>
        <v>93.932400000000001</v>
      </c>
      <c r="E860" s="4">
        <f>594.55635257656 * CHOOSE(CONTROL!$C$9, $C$13, 100%, $E$13) + CHOOSE(CONTROL!$C$28, 0, 0)</f>
        <v>594.55635257656002</v>
      </c>
    </row>
    <row r="861" spans="1:5" ht="15">
      <c r="A861" s="13">
        <v>68088</v>
      </c>
      <c r="B861" s="4">
        <f>111.6005 * CHOOSE(CONTROL!$C$9, $C$13, 100%, $E$13) + CHOOSE(CONTROL!$C$28, 0.0294, 0)</f>
        <v>111.62989999999999</v>
      </c>
      <c r="C861" s="4">
        <f>111.288 * CHOOSE(CONTROL!$C$9, $C$13, 100%, $E$13) + CHOOSE(CONTROL!$C$28, 0.0294, 0)</f>
        <v>111.31739999999999</v>
      </c>
      <c r="D861" s="4">
        <f>92.901 * CHOOSE(CONTROL!$C$9, $C$13, 100%, $E$13) + CHOOSE(CONTROL!$C$28, 0, 0)</f>
        <v>92.900999999999996</v>
      </c>
      <c r="E861" s="4">
        <f>608.793200671173 * CHOOSE(CONTROL!$C$9, $C$13, 100%, $E$13) + CHOOSE(CONTROL!$C$28, 0, 0)</f>
        <v>608.79320067117305</v>
      </c>
    </row>
    <row r="862" spans="1:5" ht="15">
      <c r="A862" s="13">
        <v>68118</v>
      </c>
      <c r="B862" s="4">
        <f>111.9477 * CHOOSE(CONTROL!$C$9, $C$13, 100%, $E$13) + CHOOSE(CONTROL!$C$28, 0.0294, 0)</f>
        <v>111.97709999999999</v>
      </c>
      <c r="C862" s="4">
        <f>111.6352 * CHOOSE(CONTROL!$C$9, $C$13, 100%, $E$13) + CHOOSE(CONTROL!$C$28, 0.0294, 0)</f>
        <v>111.66459999999999</v>
      </c>
      <c r="D862" s="4">
        <f>93.741 * CHOOSE(CONTROL!$C$9, $C$13, 100%, $E$13) + CHOOSE(CONTROL!$C$28, 0, 0)</f>
        <v>93.741</v>
      </c>
      <c r="E862" s="4">
        <f>610.719505302508 * CHOOSE(CONTROL!$C$9, $C$13, 100%, $E$13) + CHOOSE(CONTROL!$C$28, 0, 0)</f>
        <v>610.71950530250797</v>
      </c>
    </row>
    <row r="863" spans="1:5" ht="15">
      <c r="A863" s="13">
        <v>68149</v>
      </c>
      <c r="B863" s="4">
        <f>111.9127 * CHOOSE(CONTROL!$C$9, $C$13, 100%, $E$13) + CHOOSE(CONTROL!$C$28, 0.0294, 0)</f>
        <v>111.9421</v>
      </c>
      <c r="C863" s="4">
        <f>111.6002 * CHOOSE(CONTROL!$C$9, $C$13, 100%, $E$13) + CHOOSE(CONTROL!$C$28, 0.0294, 0)</f>
        <v>111.6296</v>
      </c>
      <c r="D863" s="4">
        <f>95.2567 * CHOOSE(CONTROL!$C$9, $C$13, 100%, $E$13) + CHOOSE(CONTROL!$C$28, 0, 0)</f>
        <v>95.256699999999995</v>
      </c>
      <c r="E863" s="4">
        <f>610.525256095986 * CHOOSE(CONTROL!$C$9, $C$13, 100%, $E$13) + CHOOSE(CONTROL!$C$28, 0, 0)</f>
        <v>610.52525609598604</v>
      </c>
    </row>
    <row r="864" spans="1:5" ht="15">
      <c r="A864" s="13">
        <v>68180</v>
      </c>
      <c r="B864" s="4">
        <f>114.5472 * CHOOSE(CONTROL!$C$9, $C$13, 100%, $E$13) + CHOOSE(CONTROL!$C$28, 0.0294, 0)</f>
        <v>114.5766</v>
      </c>
      <c r="C864" s="4">
        <f>114.2347 * CHOOSE(CONTROL!$C$9, $C$13, 100%, $E$13) + CHOOSE(CONTROL!$C$28, 0.0294, 0)</f>
        <v>114.2641</v>
      </c>
      <c r="D864" s="4">
        <f>94.2558 * CHOOSE(CONTROL!$C$9, $C$13, 100%, $E$13) + CHOOSE(CONTROL!$C$28, 0, 0)</f>
        <v>94.255799999999994</v>
      </c>
      <c r="E864" s="4">
        <f>625.142508886703 * CHOOSE(CONTROL!$C$9, $C$13, 100%, $E$13) + CHOOSE(CONTROL!$C$28, 0, 0)</f>
        <v>625.14250888670301</v>
      </c>
    </row>
    <row r="865" spans="1:5" ht="15">
      <c r="A865" s="13">
        <v>68210</v>
      </c>
      <c r="B865" s="4">
        <f>110.0571 * CHOOSE(CONTROL!$C$9, $C$13, 100%, $E$13) + CHOOSE(CONTROL!$C$28, 0.0294, 0)</f>
        <v>110.0865</v>
      </c>
      <c r="C865" s="4">
        <f>109.7446 * CHOOSE(CONTROL!$C$9, $C$13, 100%, $E$13) + CHOOSE(CONTROL!$C$28, 0.0294, 0)</f>
        <v>109.774</v>
      </c>
      <c r="D865" s="4">
        <f>93.7828 * CHOOSE(CONTROL!$C$9, $C$13, 100%, $E$13) + CHOOSE(CONTROL!$C$28, 0, 0)</f>
        <v>93.782799999999995</v>
      </c>
      <c r="E865" s="4">
        <f>600.230048150365 * CHOOSE(CONTROL!$C$9, $C$13, 100%, $E$13) + CHOOSE(CONTROL!$C$28, 0, 0)</f>
        <v>600.23004815036495</v>
      </c>
    </row>
    <row r="866" spans="1:5" ht="15">
      <c r="A866" s="13">
        <v>68241</v>
      </c>
      <c r="B866" s="4">
        <f>106.4627 * CHOOSE(CONTROL!$C$9, $C$13, 100%, $E$13) + CHOOSE(CONTROL!$C$28, 0.0003, 0)</f>
        <v>106.46299999999999</v>
      </c>
      <c r="C866" s="4">
        <f>106.1502 * CHOOSE(CONTROL!$C$9, $C$13, 100%, $E$13) + CHOOSE(CONTROL!$C$28, 0.0003, 0)</f>
        <v>106.15049999999999</v>
      </c>
      <c r="D866" s="4">
        <f>92.5165 * CHOOSE(CONTROL!$C$9, $C$13, 100%, $E$13) + CHOOSE(CONTROL!$C$28, 0, 0)</f>
        <v>92.516499999999994</v>
      </c>
      <c r="E866" s="4">
        <f>580.287129614193 * CHOOSE(CONTROL!$C$9, $C$13, 100%, $E$13) + CHOOSE(CONTROL!$C$28, 0, 0)</f>
        <v>580.28712961419296</v>
      </c>
    </row>
    <row r="867" spans="1:5" ht="15">
      <c r="A867" s="13">
        <v>68271</v>
      </c>
      <c r="B867" s="4">
        <f>104.1477 * CHOOSE(CONTROL!$C$9, $C$13, 100%, $E$13) + CHOOSE(CONTROL!$C$28, 0.0003, 0)</f>
        <v>104.148</v>
      </c>
      <c r="C867" s="4">
        <f>103.8352 * CHOOSE(CONTROL!$C$9, $C$13, 100%, $E$13) + CHOOSE(CONTROL!$C$28, 0.0003, 0)</f>
        <v>103.8355</v>
      </c>
      <c r="D867" s="4">
        <f>92.0812 * CHOOSE(CONTROL!$C$9, $C$13, 100%, $E$13) + CHOOSE(CONTROL!$C$28, 0, 0)</f>
        <v>92.081199999999995</v>
      </c>
      <c r="E867" s="4">
        <f>567.442400832982 * CHOOSE(CONTROL!$C$9, $C$13, 100%, $E$13) + CHOOSE(CONTROL!$C$28, 0, 0)</f>
        <v>567.442400832982</v>
      </c>
    </row>
    <row r="868" spans="1:5" ht="15">
      <c r="A868" s="13">
        <v>68302</v>
      </c>
      <c r="B868" s="4">
        <f>102.5459 * CHOOSE(CONTROL!$C$9, $C$13, 100%, $E$13) + CHOOSE(CONTROL!$C$28, 0.0003, 0)</f>
        <v>102.5462</v>
      </c>
      <c r="C868" s="4">
        <f>102.2334 * CHOOSE(CONTROL!$C$9, $C$13, 100%, $E$13) + CHOOSE(CONTROL!$C$28, 0.0003, 0)</f>
        <v>102.2337</v>
      </c>
      <c r="D868" s="4">
        <f>88.8761 * CHOOSE(CONTROL!$C$9, $C$13, 100%, $E$13) + CHOOSE(CONTROL!$C$28, 0, 0)</f>
        <v>88.876099999999994</v>
      </c>
      <c r="E868" s="4">
        <f>558.555499634639 * CHOOSE(CONTROL!$C$9, $C$13, 100%, $E$13) + CHOOSE(CONTROL!$C$28, 0, 0)</f>
        <v>558.55549963463898</v>
      </c>
    </row>
    <row r="869" spans="1:5" ht="15">
      <c r="A869" s="13">
        <v>68333</v>
      </c>
      <c r="B869" s="4">
        <f>99.9435 * CHOOSE(CONTROL!$C$9, $C$13, 100%, $E$13) + CHOOSE(CONTROL!$C$28, 0.0003, 0)</f>
        <v>99.943799999999996</v>
      </c>
      <c r="C869" s="4">
        <f>99.631 * CHOOSE(CONTROL!$C$9, $C$13, 100%, $E$13) + CHOOSE(CONTROL!$C$28, 0.0003, 0)</f>
        <v>99.631299999999996</v>
      </c>
      <c r="D869" s="4">
        <f>85.9304 * CHOOSE(CONTROL!$C$9, $C$13, 100%, $E$13) + CHOOSE(CONTROL!$C$28, 0, 0)</f>
        <v>85.930400000000006</v>
      </c>
      <c r="E869" s="4">
        <f>542.538256390798 * CHOOSE(CONTROL!$C$9, $C$13, 100%, $E$13) + CHOOSE(CONTROL!$C$28, 0, 0)</f>
        <v>542.53825639079798</v>
      </c>
    </row>
    <row r="870" spans="1:5" ht="15">
      <c r="A870" s="13">
        <v>68361</v>
      </c>
      <c r="B870" s="4">
        <f>102.272 * CHOOSE(CONTROL!$C$9, $C$13, 100%, $E$13) + CHOOSE(CONTROL!$C$28, 0.0003, 0)</f>
        <v>102.2723</v>
      </c>
      <c r="C870" s="4">
        <f>101.9595 * CHOOSE(CONTROL!$C$9, $C$13, 100%, $E$13) + CHOOSE(CONTROL!$C$28, 0.0003, 0)</f>
        <v>101.9598</v>
      </c>
      <c r="D870" s="4">
        <f>88.8968 * CHOOSE(CONTROL!$C$9, $C$13, 100%, $E$13) + CHOOSE(CONTROL!$C$28, 0, 0)</f>
        <v>88.896799999999999</v>
      </c>
      <c r="E870" s="4">
        <f>555.420252691653 * CHOOSE(CONTROL!$C$9, $C$13, 100%, $E$13) + CHOOSE(CONTROL!$C$28, 0, 0)</f>
        <v>555.42025269165299</v>
      </c>
    </row>
    <row r="871" spans="1:5" ht="15">
      <c r="A871" s="13">
        <v>68392</v>
      </c>
      <c r="B871" s="4">
        <f>108.3869 * CHOOSE(CONTROL!$C$9, $C$13, 100%, $E$13) + CHOOSE(CONTROL!$C$28, 0.0003, 0)</f>
        <v>108.38719999999999</v>
      </c>
      <c r="C871" s="4">
        <f>108.0744 * CHOOSE(CONTROL!$C$9, $C$13, 100%, $E$13) + CHOOSE(CONTROL!$C$28, 0.0003, 0)</f>
        <v>108.07469999999999</v>
      </c>
      <c r="D871" s="4">
        <f>93.5404 * CHOOSE(CONTROL!$C$9, $C$13, 100%, $E$13) + CHOOSE(CONTROL!$C$28, 0, 0)</f>
        <v>93.540400000000005</v>
      </c>
      <c r="E871" s="4">
        <f>589.249059568555 * CHOOSE(CONTROL!$C$9, $C$13, 100%, $E$13) + CHOOSE(CONTROL!$C$28, 0, 0)</f>
        <v>589.24905956855503</v>
      </c>
    </row>
    <row r="872" spans="1:5" ht="15">
      <c r="A872" s="13">
        <v>68422</v>
      </c>
      <c r="B872" s="4">
        <f>112.7315 * CHOOSE(CONTROL!$C$9, $C$13, 100%, $E$13) + CHOOSE(CONTROL!$C$28, 0.0003, 0)</f>
        <v>112.73179999999999</v>
      </c>
      <c r="C872" s="4">
        <f>112.419 * CHOOSE(CONTROL!$C$9, $C$13, 100%, $E$13) + CHOOSE(CONTROL!$C$28, 0.0003, 0)</f>
        <v>112.41929999999999</v>
      </c>
      <c r="D872" s="4">
        <f>96.2153 * CHOOSE(CONTROL!$C$9, $C$13, 100%, $E$13) + CHOOSE(CONTROL!$C$28, 0, 0)</f>
        <v>96.215299999999999</v>
      </c>
      <c r="E872" s="4">
        <f>613.284877682722 * CHOOSE(CONTROL!$C$9, $C$13, 100%, $E$13) + CHOOSE(CONTROL!$C$28, 0, 0)</f>
        <v>613.28487768272203</v>
      </c>
    </row>
    <row r="873" spans="1:5" ht="15">
      <c r="A873" s="13">
        <v>68453</v>
      </c>
      <c r="B873" s="4">
        <f>115.386 * CHOOSE(CONTROL!$C$9, $C$13, 100%, $E$13) + CHOOSE(CONTROL!$C$28, 0.0294, 0)</f>
        <v>115.41539999999999</v>
      </c>
      <c r="C873" s="4">
        <f>115.0735 * CHOOSE(CONTROL!$C$9, $C$13, 100%, $E$13) + CHOOSE(CONTROL!$C$28, 0.0294, 0)</f>
        <v>115.10289999999999</v>
      </c>
      <c r="D873" s="4">
        <f>95.1583 * CHOOSE(CONTROL!$C$9, $C$13, 100%, $E$13) + CHOOSE(CONTROL!$C$28, 0, 0)</f>
        <v>95.158299999999997</v>
      </c>
      <c r="E873" s="4">
        <f>627.970186492315 * CHOOSE(CONTROL!$C$9, $C$13, 100%, $E$13) + CHOOSE(CONTROL!$C$28, 0, 0)</f>
        <v>627.97018649231495</v>
      </c>
    </row>
    <row r="874" spans="1:5" ht="15">
      <c r="A874" s="13">
        <v>68483</v>
      </c>
      <c r="B874" s="4">
        <f>115.7452 * CHOOSE(CONTROL!$C$9, $C$13, 100%, $E$13) + CHOOSE(CONTROL!$C$28, 0.0294, 0)</f>
        <v>115.77459999999999</v>
      </c>
      <c r="C874" s="4">
        <f>115.4327 * CHOOSE(CONTROL!$C$9, $C$13, 100%, $E$13) + CHOOSE(CONTROL!$C$28, 0.0294, 0)</f>
        <v>115.46209999999999</v>
      </c>
      <c r="D874" s="4">
        <f>96.0191 * CHOOSE(CONTROL!$C$9, $C$13, 100%, $E$13) + CHOOSE(CONTROL!$C$28, 0, 0)</f>
        <v>96.019099999999995</v>
      </c>
      <c r="E874" s="4">
        <f>629.957169719537 * CHOOSE(CONTROL!$C$9, $C$13, 100%, $E$13) + CHOOSE(CONTROL!$C$28, 0, 0)</f>
        <v>629.95716971953698</v>
      </c>
    </row>
    <row r="875" spans="1:5" ht="15">
      <c r="A875" s="13">
        <v>68514</v>
      </c>
      <c r="B875" s="4">
        <f>115.709 * CHOOSE(CONTROL!$C$9, $C$13, 100%, $E$13) + CHOOSE(CONTROL!$C$28, 0.0294, 0)</f>
        <v>115.7384</v>
      </c>
      <c r="C875" s="4">
        <f>115.3965 * CHOOSE(CONTROL!$C$9, $C$13, 100%, $E$13) + CHOOSE(CONTROL!$C$28, 0.0294, 0)</f>
        <v>115.4259</v>
      </c>
      <c r="D875" s="4">
        <f>97.5724 * CHOOSE(CONTROL!$C$9, $C$13, 100%, $E$13) + CHOOSE(CONTROL!$C$28, 0, 0)</f>
        <v>97.572400000000002</v>
      </c>
      <c r="E875" s="4">
        <f>629.75680166301 * CHOOSE(CONTROL!$C$9, $C$13, 100%, $E$13) + CHOOSE(CONTROL!$C$28, 0, 0)</f>
        <v>629.75680166301004</v>
      </c>
    </row>
    <row r="876" spans="1:5" ht="15">
      <c r="A876" s="13">
        <v>68545</v>
      </c>
      <c r="B876" s="4">
        <f>118.4344 * CHOOSE(CONTROL!$C$9, $C$13, 100%, $E$13) + CHOOSE(CONTROL!$C$28, 0.0294, 0)</f>
        <v>118.46379999999999</v>
      </c>
      <c r="C876" s="4">
        <f>118.1219 * CHOOSE(CONTROL!$C$9, $C$13, 100%, $E$13) + CHOOSE(CONTROL!$C$28, 0.0294, 0)</f>
        <v>118.15129999999999</v>
      </c>
      <c r="D876" s="4">
        <f>96.5466 * CHOOSE(CONTROL!$C$9, $C$13, 100%, $E$13) + CHOOSE(CONTROL!$C$28, 0, 0)</f>
        <v>96.546599999999998</v>
      </c>
      <c r="E876" s="4">
        <f>644.834497916634 * CHOOSE(CONTROL!$C$9, $C$13, 100%, $E$13) + CHOOSE(CONTROL!$C$28, 0, 0)</f>
        <v>644.83449791663395</v>
      </c>
    </row>
    <row r="877" spans="1:5" ht="15">
      <c r="A877" s="13">
        <v>68575</v>
      </c>
      <c r="B877" s="4">
        <f>113.7894 * CHOOSE(CONTROL!$C$9, $C$13, 100%, $E$13) + CHOOSE(CONTROL!$C$28, 0.0294, 0)</f>
        <v>113.8188</v>
      </c>
      <c r="C877" s="4">
        <f>113.4769 * CHOOSE(CONTROL!$C$9, $C$13, 100%, $E$13) + CHOOSE(CONTROL!$C$28, 0.0294, 0)</f>
        <v>113.5063</v>
      </c>
      <c r="D877" s="4">
        <f>96.062 * CHOOSE(CONTROL!$C$9, $C$13, 100%, $E$13) + CHOOSE(CONTROL!$C$28, 0, 0)</f>
        <v>96.061999999999998</v>
      </c>
      <c r="E877" s="4">
        <f>619.137294667102 * CHOOSE(CONTROL!$C$9, $C$13, 100%, $E$13) + CHOOSE(CONTROL!$C$28, 0, 0)</f>
        <v>619.13729466710197</v>
      </c>
    </row>
    <row r="878" spans="1:5" ht="15">
      <c r="A878" s="13">
        <v>68606</v>
      </c>
      <c r="B878" s="4">
        <f>110.071 * CHOOSE(CONTROL!$C$9, $C$13, 100%, $E$13) + CHOOSE(CONTROL!$C$28, 0.0003, 0)</f>
        <v>110.07129999999999</v>
      </c>
      <c r="C878" s="4">
        <f>109.7585 * CHOOSE(CONTROL!$C$9, $C$13, 100%, $E$13) + CHOOSE(CONTROL!$C$28, 0.0003, 0)</f>
        <v>109.75879999999999</v>
      </c>
      <c r="D878" s="4">
        <f>94.7643 * CHOOSE(CONTROL!$C$9, $C$13, 100%, $E$13) + CHOOSE(CONTROL!$C$28, 0, 0)</f>
        <v>94.764300000000006</v>
      </c>
      <c r="E878" s="4">
        <f>598.566174197041 * CHOOSE(CONTROL!$C$9, $C$13, 100%, $E$13) + CHOOSE(CONTROL!$C$28, 0, 0)</f>
        <v>598.56617419704105</v>
      </c>
    </row>
    <row r="879" spans="1:5" ht="15">
      <c r="A879" s="13">
        <v>68636</v>
      </c>
      <c r="B879" s="4">
        <f>107.6761 * CHOOSE(CONTROL!$C$9, $C$13, 100%, $E$13) + CHOOSE(CONTROL!$C$28, 0.0003, 0)</f>
        <v>107.6764</v>
      </c>
      <c r="C879" s="4">
        <f>107.3636 * CHOOSE(CONTROL!$C$9, $C$13, 100%, $E$13) + CHOOSE(CONTROL!$C$28, 0.0003, 0)</f>
        <v>107.3639</v>
      </c>
      <c r="D879" s="4">
        <f>94.3181 * CHOOSE(CONTROL!$C$9, $C$13, 100%, $E$13) + CHOOSE(CONTROL!$C$28, 0, 0)</f>
        <v>94.318100000000001</v>
      </c>
      <c r="E879" s="4">
        <f>585.316836459221 * CHOOSE(CONTROL!$C$9, $C$13, 100%, $E$13) + CHOOSE(CONTROL!$C$28, 0, 0)</f>
        <v>585.31683645922101</v>
      </c>
    </row>
    <row r="880" spans="1:5" ht="15">
      <c r="A880" s="13">
        <v>68667</v>
      </c>
      <c r="B880" s="4">
        <f>106.0191 * CHOOSE(CONTROL!$C$9, $C$13, 100%, $E$13) + CHOOSE(CONTROL!$C$28, 0.0003, 0)</f>
        <v>106.01939999999999</v>
      </c>
      <c r="C880" s="4">
        <f>105.7066 * CHOOSE(CONTROL!$C$9, $C$13, 100%, $E$13) + CHOOSE(CONTROL!$C$28, 0.0003, 0)</f>
        <v>105.70689999999999</v>
      </c>
      <c r="D880" s="4">
        <f>91.0336 * CHOOSE(CONTROL!$C$9, $C$13, 100%, $E$13) + CHOOSE(CONTROL!$C$28, 0, 0)</f>
        <v>91.033600000000007</v>
      </c>
      <c r="E880" s="4">
        <f>576.149997873131 * CHOOSE(CONTROL!$C$9, $C$13, 100%, $E$13) + CHOOSE(CONTROL!$C$28, 0, 0)</f>
        <v>576.14999787313104</v>
      </c>
    </row>
    <row r="881" spans="1:5" ht="15">
      <c r="A881" s="13">
        <v>68698</v>
      </c>
      <c r="B881" s="4">
        <f>103.3268 * CHOOSE(CONTROL!$C$9, $C$13, 100%, $E$13) + CHOOSE(CONTROL!$C$28, 0.0003, 0)</f>
        <v>103.3271</v>
      </c>
      <c r="C881" s="4">
        <f>103.0143 * CHOOSE(CONTROL!$C$9, $C$13, 100%, $E$13) + CHOOSE(CONTROL!$C$28, 0.0003, 0)</f>
        <v>103.0146</v>
      </c>
      <c r="D881" s="4">
        <f>88.0148 * CHOOSE(CONTROL!$C$9, $C$13, 100%, $E$13) + CHOOSE(CONTROL!$C$28, 0, 0)</f>
        <v>88.014799999999994</v>
      </c>
      <c r="E881" s="4">
        <f>559.628211467109 * CHOOSE(CONTROL!$C$9, $C$13, 100%, $E$13) + CHOOSE(CONTROL!$C$28, 0, 0)</f>
        <v>559.62821146710905</v>
      </c>
    </row>
    <row r="882" spans="1:5" ht="15">
      <c r="A882" s="13">
        <v>68727</v>
      </c>
      <c r="B882" s="4">
        <f>105.7357 * CHOOSE(CONTROL!$C$9, $C$13, 100%, $E$13) + CHOOSE(CONTROL!$C$28, 0.0003, 0)</f>
        <v>105.73599999999999</v>
      </c>
      <c r="C882" s="4">
        <f>105.4232 * CHOOSE(CONTROL!$C$9, $C$13, 100%, $E$13) + CHOOSE(CONTROL!$C$28, 0.0003, 0)</f>
        <v>105.42349999999999</v>
      </c>
      <c r="D882" s="4">
        <f>91.0547 * CHOOSE(CONTROL!$C$9, $C$13, 100%, $E$13) + CHOOSE(CONTROL!$C$28, 0, 0)</f>
        <v>91.054699999999997</v>
      </c>
      <c r="E882" s="4">
        <f>572.91599065144 * CHOOSE(CONTROL!$C$9, $C$13, 100%, $E$13) + CHOOSE(CONTROL!$C$28, 0, 0)</f>
        <v>572.91599065143998</v>
      </c>
    </row>
    <row r="883" spans="1:5" ht="15">
      <c r="A883" s="13">
        <v>68758</v>
      </c>
      <c r="B883" s="4">
        <f>112.0615 * CHOOSE(CONTROL!$C$9, $C$13, 100%, $E$13) + CHOOSE(CONTROL!$C$28, 0.0003, 0)</f>
        <v>112.06179999999999</v>
      </c>
      <c r="C883" s="4">
        <f>111.749 * CHOOSE(CONTROL!$C$9, $C$13, 100%, $E$13) + CHOOSE(CONTROL!$C$28, 0.0003, 0)</f>
        <v>111.74929999999999</v>
      </c>
      <c r="D883" s="4">
        <f>95.8135 * CHOOSE(CONTROL!$C$9, $C$13, 100%, $E$13) + CHOOSE(CONTROL!$C$28, 0, 0)</f>
        <v>95.813500000000005</v>
      </c>
      <c r="E883" s="4">
        <f>607.810404944965 * CHOOSE(CONTROL!$C$9, $C$13, 100%, $E$13) + CHOOSE(CONTROL!$C$28, 0, 0)</f>
        <v>607.81040494496494</v>
      </c>
    </row>
    <row r="884" spans="1:5" ht="15">
      <c r="A884" s="13">
        <v>68788</v>
      </c>
      <c r="B884" s="4">
        <f>116.5561 * CHOOSE(CONTROL!$C$9, $C$13, 100%, $E$13) + CHOOSE(CONTROL!$C$28, 0.0003, 0)</f>
        <v>116.5564</v>
      </c>
      <c r="C884" s="4">
        <f>116.2436 * CHOOSE(CONTROL!$C$9, $C$13, 100%, $E$13) + CHOOSE(CONTROL!$C$28, 0.0003, 0)</f>
        <v>116.2439</v>
      </c>
      <c r="D884" s="4">
        <f>98.5547 * CHOOSE(CONTROL!$C$9, $C$13, 100%, $E$13) + CHOOSE(CONTROL!$C$28, 0, 0)</f>
        <v>98.554699999999997</v>
      </c>
      <c r="E884" s="4">
        <f>632.603351329727 * CHOOSE(CONTROL!$C$9, $C$13, 100%, $E$13) + CHOOSE(CONTROL!$C$28, 0, 0)</f>
        <v>632.60335132972705</v>
      </c>
    </row>
    <row r="885" spans="1:5" ht="15">
      <c r="A885" s="13">
        <v>68819</v>
      </c>
      <c r="B885" s="4">
        <f>119.3022 * CHOOSE(CONTROL!$C$9, $C$13, 100%, $E$13) + CHOOSE(CONTROL!$C$28, 0.0294, 0)</f>
        <v>119.33159999999999</v>
      </c>
      <c r="C885" s="4">
        <f>118.9897 * CHOOSE(CONTROL!$C$9, $C$13, 100%, $E$13) + CHOOSE(CONTROL!$C$28, 0.0294, 0)</f>
        <v>119.01909999999999</v>
      </c>
      <c r="D885" s="4">
        <f>97.4715 * CHOOSE(CONTROL!$C$9, $C$13, 100%, $E$13) + CHOOSE(CONTROL!$C$28, 0, 0)</f>
        <v>97.471500000000006</v>
      </c>
      <c r="E885" s="4">
        <f>647.751247366823 * CHOOSE(CONTROL!$C$9, $C$13, 100%, $E$13) + CHOOSE(CONTROL!$C$28, 0, 0)</f>
        <v>647.75124736682301</v>
      </c>
    </row>
    <row r="886" spans="1:5" ht="15">
      <c r="A886" s="13">
        <v>68849</v>
      </c>
      <c r="B886" s="4">
        <f>119.6737 * CHOOSE(CONTROL!$C$9, $C$13, 100%, $E$13) + CHOOSE(CONTROL!$C$28, 0.0294, 0)</f>
        <v>119.70309999999999</v>
      </c>
      <c r="C886" s="4">
        <f>119.3612 * CHOOSE(CONTROL!$C$9, $C$13, 100%, $E$13) + CHOOSE(CONTROL!$C$28, 0.0294, 0)</f>
        <v>119.39059999999999</v>
      </c>
      <c r="D886" s="4">
        <f>98.3537 * CHOOSE(CONTROL!$C$9, $C$13, 100%, $E$13) + CHOOSE(CONTROL!$C$28, 0, 0)</f>
        <v>98.353700000000003</v>
      </c>
      <c r="E886" s="4">
        <f>649.800820565702 * CHOOSE(CONTROL!$C$9, $C$13, 100%, $E$13) + CHOOSE(CONTROL!$C$28, 0, 0)</f>
        <v>649.800820565702</v>
      </c>
    </row>
    <row r="887" spans="1:5" ht="15">
      <c r="A887" s="13">
        <v>68880</v>
      </c>
      <c r="B887" s="4">
        <f>119.6362 * CHOOSE(CONTROL!$C$9, $C$13, 100%, $E$13) + CHOOSE(CONTROL!$C$28, 0.0294, 0)</f>
        <v>119.6656</v>
      </c>
      <c r="C887" s="4">
        <f>119.3237 * CHOOSE(CONTROL!$C$9, $C$13, 100%, $E$13) + CHOOSE(CONTROL!$C$28, 0.0294, 0)</f>
        <v>119.3531</v>
      </c>
      <c r="D887" s="4">
        <f>99.9455 * CHOOSE(CONTROL!$C$9, $C$13, 100%, $E$13) + CHOOSE(CONTROL!$C$28, 0, 0)</f>
        <v>99.945499999999996</v>
      </c>
      <c r="E887" s="4">
        <f>649.594140915395 * CHOOSE(CONTROL!$C$9, $C$13, 100%, $E$13) + CHOOSE(CONTROL!$C$28, 0, 0)</f>
        <v>649.59414091539497</v>
      </c>
    </row>
    <row r="888" spans="1:5" ht="15">
      <c r="A888" s="13">
        <v>68911</v>
      </c>
      <c r="B888" s="4">
        <f>122.4557 * CHOOSE(CONTROL!$C$9, $C$13, 100%, $E$13) + CHOOSE(CONTROL!$C$28, 0.0294, 0)</f>
        <v>122.48509999999999</v>
      </c>
      <c r="C888" s="4">
        <f>122.1432 * CHOOSE(CONTROL!$C$9, $C$13, 100%, $E$13) + CHOOSE(CONTROL!$C$28, 0.0294, 0)</f>
        <v>122.17259999999999</v>
      </c>
      <c r="D888" s="4">
        <f>98.8943 * CHOOSE(CONTROL!$C$9, $C$13, 100%, $E$13) + CHOOSE(CONTROL!$C$28, 0, 0)</f>
        <v>98.894300000000001</v>
      </c>
      <c r="E888" s="4">
        <f>665.146784601008 * CHOOSE(CONTROL!$C$9, $C$13, 100%, $E$13) + CHOOSE(CONTROL!$C$28, 0, 0)</f>
        <v>665.14678460100799</v>
      </c>
    </row>
    <row r="889" spans="1:5" ht="15">
      <c r="A889" s="13">
        <v>68941</v>
      </c>
      <c r="B889" s="4">
        <f>117.6505 * CHOOSE(CONTROL!$C$9, $C$13, 100%, $E$13) + CHOOSE(CONTROL!$C$28, 0.0294, 0)</f>
        <v>117.67989999999999</v>
      </c>
      <c r="C889" s="4">
        <f>117.338 * CHOOSE(CONTROL!$C$9, $C$13, 100%, $E$13) + CHOOSE(CONTROL!$C$28, 0.0294, 0)</f>
        <v>117.36739999999999</v>
      </c>
      <c r="D889" s="4">
        <f>98.3976 * CHOOSE(CONTROL!$C$9, $C$13, 100%, $E$13) + CHOOSE(CONTROL!$C$28, 0, 0)</f>
        <v>98.397599999999997</v>
      </c>
      <c r="E889" s="4">
        <f>638.640119449116 * CHOOSE(CONTROL!$C$9, $C$13, 100%, $E$13) + CHOOSE(CONTROL!$C$28, 0, 0)</f>
        <v>638.64011944911601</v>
      </c>
    </row>
    <row r="890" spans="1:5" ht="15">
      <c r="A890" s="13">
        <v>68972</v>
      </c>
      <c r="B890" s="4">
        <f>113.8038 * CHOOSE(CONTROL!$C$9, $C$13, 100%, $E$13) + CHOOSE(CONTROL!$C$28, 0.0003, 0)</f>
        <v>113.80409999999999</v>
      </c>
      <c r="C890" s="4">
        <f>113.4913 * CHOOSE(CONTROL!$C$9, $C$13, 100%, $E$13) + CHOOSE(CONTROL!$C$28, 0.0003, 0)</f>
        <v>113.49159999999999</v>
      </c>
      <c r="D890" s="4">
        <f>97.0677 * CHOOSE(CONTROL!$C$9, $C$13, 100%, $E$13) + CHOOSE(CONTROL!$C$28, 0, 0)</f>
        <v>97.067700000000002</v>
      </c>
      <c r="E890" s="4">
        <f>617.421008684247 * CHOOSE(CONTROL!$C$9, $C$13, 100%, $E$13) + CHOOSE(CONTROL!$C$28, 0, 0)</f>
        <v>617.421008684247</v>
      </c>
    </row>
    <row r="891" spans="1:5" ht="15">
      <c r="A891" s="13">
        <v>69002</v>
      </c>
      <c r="B891" s="4">
        <f>111.3262 * CHOOSE(CONTROL!$C$9, $C$13, 100%, $E$13) + CHOOSE(CONTROL!$C$28, 0.0003, 0)</f>
        <v>111.3265</v>
      </c>
      <c r="C891" s="4">
        <f>111.0137 * CHOOSE(CONTROL!$C$9, $C$13, 100%, $E$13) + CHOOSE(CONTROL!$C$28, 0.0003, 0)</f>
        <v>111.014</v>
      </c>
      <c r="D891" s="4">
        <f>96.6105 * CHOOSE(CONTROL!$C$9, $C$13, 100%, $E$13) + CHOOSE(CONTROL!$C$28, 0, 0)</f>
        <v>96.610500000000002</v>
      </c>
      <c r="E891" s="4">
        <f>603.754316807687 * CHOOSE(CONTROL!$C$9, $C$13, 100%, $E$13) + CHOOSE(CONTROL!$C$28, 0, 0)</f>
        <v>603.75431680768702</v>
      </c>
    </row>
    <row r="892" spans="1:5" ht="15">
      <c r="A892" s="13">
        <v>69033</v>
      </c>
      <c r="B892" s="4">
        <f>109.6121 * CHOOSE(CONTROL!$C$9, $C$13, 100%, $E$13) + CHOOSE(CONTROL!$C$28, 0.0003, 0)</f>
        <v>109.61239999999999</v>
      </c>
      <c r="C892" s="4">
        <f>109.2996 * CHOOSE(CONTROL!$C$9, $C$13, 100%, $E$13) + CHOOSE(CONTROL!$C$28, 0.0003, 0)</f>
        <v>109.29989999999999</v>
      </c>
      <c r="D892" s="4">
        <f>93.2445 * CHOOSE(CONTROL!$C$9, $C$13, 100%, $E$13) + CHOOSE(CONTROL!$C$28, 0, 0)</f>
        <v>93.244500000000002</v>
      </c>
      <c r="E892" s="4">
        <f>594.298722806134 * CHOOSE(CONTROL!$C$9, $C$13, 100%, $E$13) + CHOOSE(CONTROL!$C$28, 0, 0)</f>
        <v>594.29872280613404</v>
      </c>
    </row>
    <row r="893" spans="1:5" ht="15">
      <c r="A893" s="13">
        <v>69064</v>
      </c>
      <c r="B893" s="4">
        <f>106.8269 * CHOOSE(CONTROL!$C$9, $C$13, 100%, $E$13) + CHOOSE(CONTROL!$C$28, 0.0003, 0)</f>
        <v>106.82719999999999</v>
      </c>
      <c r="C893" s="4">
        <f>106.5144 * CHOOSE(CONTROL!$C$9, $C$13, 100%, $E$13) + CHOOSE(CONTROL!$C$28, 0.0003, 0)</f>
        <v>106.51469999999999</v>
      </c>
      <c r="D893" s="4">
        <f>90.1509 * CHOOSE(CONTROL!$C$9, $C$13, 100%, $E$13) + CHOOSE(CONTROL!$C$28, 0, 0)</f>
        <v>90.150899999999993</v>
      </c>
      <c r="E893" s="4">
        <f>577.256500128323 * CHOOSE(CONTROL!$C$9, $C$13, 100%, $E$13) + CHOOSE(CONTROL!$C$28, 0, 0)</f>
        <v>577.25650012832295</v>
      </c>
    </row>
    <row r="894" spans="1:5" ht="15">
      <c r="A894" s="13">
        <v>69092</v>
      </c>
      <c r="B894" s="4">
        <f>109.3189 * CHOOSE(CONTROL!$C$9, $C$13, 100%, $E$13) + CHOOSE(CONTROL!$C$28, 0.0003, 0)</f>
        <v>109.3192</v>
      </c>
      <c r="C894" s="4">
        <f>109.0064 * CHOOSE(CONTROL!$C$9, $C$13, 100%, $E$13) + CHOOSE(CONTROL!$C$28, 0.0003, 0)</f>
        <v>109.0067</v>
      </c>
      <c r="D894" s="4">
        <f>93.2662 * CHOOSE(CONTROL!$C$9, $C$13, 100%, $E$13) + CHOOSE(CONTROL!$C$28, 0, 0)</f>
        <v>93.266199999999998</v>
      </c>
      <c r="E894" s="4">
        <f>590.96284435696 * CHOOSE(CONTROL!$C$9, $C$13, 100%, $E$13) + CHOOSE(CONTROL!$C$28, 0, 0)</f>
        <v>590.96284435695998</v>
      </c>
    </row>
    <row r="895" spans="1:5" ht="15">
      <c r="A895" s="13">
        <v>69123</v>
      </c>
      <c r="B895" s="4">
        <f>115.8629 * CHOOSE(CONTROL!$C$9, $C$13, 100%, $E$13) + CHOOSE(CONTROL!$C$28, 0.0003, 0)</f>
        <v>115.86319999999999</v>
      </c>
      <c r="C895" s="4">
        <f>115.5504 * CHOOSE(CONTROL!$C$9, $C$13, 100%, $E$13) + CHOOSE(CONTROL!$C$28, 0.0003, 0)</f>
        <v>115.55069999999999</v>
      </c>
      <c r="D895" s="4">
        <f>98.143 * CHOOSE(CONTROL!$C$9, $C$13, 100%, $E$13) + CHOOSE(CONTROL!$C$28, 0, 0)</f>
        <v>98.143000000000001</v>
      </c>
      <c r="E895" s="4">
        <f>626.956432700731 * CHOOSE(CONTROL!$C$9, $C$13, 100%, $E$13) + CHOOSE(CONTROL!$C$28, 0, 0)</f>
        <v>626.95643270073106</v>
      </c>
    </row>
    <row r="896" spans="1:5" ht="15">
      <c r="A896" s="13">
        <v>69153</v>
      </c>
      <c r="B896" s="4">
        <f>120.5126 * CHOOSE(CONTROL!$C$9, $C$13, 100%, $E$13) + CHOOSE(CONTROL!$C$28, 0.0003, 0)</f>
        <v>120.5129</v>
      </c>
      <c r="C896" s="4">
        <f>120.2001 * CHOOSE(CONTROL!$C$9, $C$13, 100%, $E$13) + CHOOSE(CONTROL!$C$28, 0.0003, 0)</f>
        <v>120.2004</v>
      </c>
      <c r="D896" s="4">
        <f>100.9522 * CHOOSE(CONTROL!$C$9, $C$13, 100%, $E$13) + CHOOSE(CONTROL!$C$28, 0, 0)</f>
        <v>100.9522</v>
      </c>
      <c r="E896" s="4">
        <f>652.530356896614 * CHOOSE(CONTROL!$C$9, $C$13, 100%, $E$13) + CHOOSE(CONTROL!$C$28, 0, 0)</f>
        <v>652.53035689661397</v>
      </c>
    </row>
    <row r="897" spans="1:5" ht="15">
      <c r="A897" s="13">
        <v>69184</v>
      </c>
      <c r="B897" s="4">
        <f>123.3534 * CHOOSE(CONTROL!$C$9, $C$13, 100%, $E$13) + CHOOSE(CONTROL!$C$28, 0.0294, 0)</f>
        <v>123.38279999999999</v>
      </c>
      <c r="C897" s="4">
        <f>123.0409 * CHOOSE(CONTROL!$C$9, $C$13, 100%, $E$13) + CHOOSE(CONTROL!$C$28, 0.0294, 0)</f>
        <v>123.07029999999999</v>
      </c>
      <c r="D897" s="4">
        <f>99.8421 * CHOOSE(CONTROL!$C$9, $C$13, 100%, $E$13) + CHOOSE(CONTROL!$C$28, 0, 0)</f>
        <v>99.842100000000002</v>
      </c>
      <c r="E897" s="4">
        <f>668.155411658878 * CHOOSE(CONTROL!$C$9, $C$13, 100%, $E$13) + CHOOSE(CONTROL!$C$28, 0, 0)</f>
        <v>668.15541165887805</v>
      </c>
    </row>
    <row r="898" spans="1:5" ht="15">
      <c r="A898" s="13">
        <v>69214</v>
      </c>
      <c r="B898" s="4">
        <f>123.7378 * CHOOSE(CONTROL!$C$9, $C$13, 100%, $E$13) + CHOOSE(CONTROL!$C$28, 0.0294, 0)</f>
        <v>123.76719999999999</v>
      </c>
      <c r="C898" s="4">
        <f>123.4253 * CHOOSE(CONTROL!$C$9, $C$13, 100%, $E$13) + CHOOSE(CONTROL!$C$28, 0.0294, 0)</f>
        <v>123.45469999999999</v>
      </c>
      <c r="D898" s="4">
        <f>100.7462 * CHOOSE(CONTROL!$C$9, $C$13, 100%, $E$13) + CHOOSE(CONTROL!$C$28, 0, 0)</f>
        <v>100.7462</v>
      </c>
      <c r="E898" s="4">
        <f>670.269546413522 * CHOOSE(CONTROL!$C$9, $C$13, 100%, $E$13) + CHOOSE(CONTROL!$C$28, 0, 0)</f>
        <v>670.26954641352199</v>
      </c>
    </row>
    <row r="899" spans="1:5" ht="15">
      <c r="A899" s="13">
        <v>69245</v>
      </c>
      <c r="B899" s="4">
        <f>123.699 * CHOOSE(CONTROL!$C$9, $C$13, 100%, $E$13) + CHOOSE(CONTROL!$C$28, 0.0294, 0)</f>
        <v>123.72839999999999</v>
      </c>
      <c r="C899" s="4">
        <f>123.3865 * CHOOSE(CONTROL!$C$9, $C$13, 100%, $E$13) + CHOOSE(CONTROL!$C$28, 0.0294, 0)</f>
        <v>123.41589999999999</v>
      </c>
      <c r="D899" s="4">
        <f>102.3774 * CHOOSE(CONTROL!$C$9, $C$13, 100%, $E$13) + CHOOSE(CONTROL!$C$28, 0, 0)</f>
        <v>102.37739999999999</v>
      </c>
      <c r="E899" s="4">
        <f>670.05635635423 * CHOOSE(CONTROL!$C$9, $C$13, 100%, $E$13) + CHOOSE(CONTROL!$C$28, 0, 0)</f>
        <v>670.05635635423005</v>
      </c>
    </row>
    <row r="900" spans="1:5" ht="15">
      <c r="A900" s="13">
        <v>69276</v>
      </c>
      <c r="B900" s="4">
        <f>126.6157 * CHOOSE(CONTROL!$C$9, $C$13, 100%, $E$13) + CHOOSE(CONTROL!$C$28, 0.0294, 0)</f>
        <v>126.6451</v>
      </c>
      <c r="C900" s="4">
        <f>126.3032 * CHOOSE(CONTROL!$C$9, $C$13, 100%, $E$13) + CHOOSE(CONTROL!$C$28, 0.0294, 0)</f>
        <v>126.3326</v>
      </c>
      <c r="D900" s="4">
        <f>101.3002 * CHOOSE(CONTROL!$C$9, $C$13, 100%, $E$13) + CHOOSE(CONTROL!$C$28, 0, 0)</f>
        <v>101.3002</v>
      </c>
      <c r="E900" s="4">
        <f>686.09890831594 * CHOOSE(CONTROL!$C$9, $C$13, 100%, $E$13) + CHOOSE(CONTROL!$C$28, 0, 0)</f>
        <v>686.09890831593998</v>
      </c>
    </row>
    <row r="901" spans="1:5" ht="15">
      <c r="A901" s="13">
        <v>69306</v>
      </c>
      <c r="B901" s="4">
        <f>121.6447 * CHOOSE(CONTROL!$C$9, $C$13, 100%, $E$13) + CHOOSE(CONTROL!$C$28, 0.0294, 0)</f>
        <v>121.6741</v>
      </c>
      <c r="C901" s="4">
        <f>121.3322 * CHOOSE(CONTROL!$C$9, $C$13, 100%, $E$13) + CHOOSE(CONTROL!$C$28, 0.0294, 0)</f>
        <v>121.3616</v>
      </c>
      <c r="D901" s="4">
        <f>100.7912 * CHOOSE(CONTROL!$C$9, $C$13, 100%, $E$13) + CHOOSE(CONTROL!$C$28, 0, 0)</f>
        <v>100.7912</v>
      </c>
      <c r="E901" s="4">
        <f>658.757283211763 * CHOOSE(CONTROL!$C$9, $C$13, 100%, $E$13) + CHOOSE(CONTROL!$C$28, 0, 0)</f>
        <v>658.75728321176302</v>
      </c>
    </row>
    <row r="902" spans="1:5" ht="15">
      <c r="A902" s="13">
        <v>69337</v>
      </c>
      <c r="B902" s="4">
        <f>117.6653 * CHOOSE(CONTROL!$C$9, $C$13, 100%, $E$13) + CHOOSE(CONTROL!$C$28, 0.0003, 0)</f>
        <v>117.6656</v>
      </c>
      <c r="C902" s="4">
        <f>117.3528 * CHOOSE(CONTROL!$C$9, $C$13, 100%, $E$13) + CHOOSE(CONTROL!$C$28, 0.0003, 0)</f>
        <v>117.3531</v>
      </c>
      <c r="D902" s="4">
        <f>99.4283 * CHOOSE(CONTROL!$C$9, $C$13, 100%, $E$13) + CHOOSE(CONTROL!$C$28, 0, 0)</f>
        <v>99.428299999999993</v>
      </c>
      <c r="E902" s="4">
        <f>636.869770457801 * CHOOSE(CONTROL!$C$9, $C$13, 100%, $E$13) + CHOOSE(CONTROL!$C$28, 0, 0)</f>
        <v>636.869770457801</v>
      </c>
    </row>
    <row r="903" spans="1:5" ht="15">
      <c r="A903" s="13">
        <v>69367</v>
      </c>
      <c r="B903" s="4">
        <f>115.1023 * CHOOSE(CONTROL!$C$9, $C$13, 100%, $E$13) + CHOOSE(CONTROL!$C$28, 0.0003, 0)</f>
        <v>115.1026</v>
      </c>
      <c r="C903" s="4">
        <f>114.7898 * CHOOSE(CONTROL!$C$9, $C$13, 100%, $E$13) + CHOOSE(CONTROL!$C$28, 0.0003, 0)</f>
        <v>114.7901</v>
      </c>
      <c r="D903" s="4">
        <f>98.9598 * CHOOSE(CONTROL!$C$9, $C$13, 100%, $E$13) + CHOOSE(CONTROL!$C$28, 0, 0)</f>
        <v>98.959800000000001</v>
      </c>
      <c r="E903" s="4">
        <f>622.772577787129 * CHOOSE(CONTROL!$C$9, $C$13, 100%, $E$13) + CHOOSE(CONTROL!$C$28, 0, 0)</f>
        <v>622.77257778712897</v>
      </c>
    </row>
    <row r="904" spans="1:5" ht="15">
      <c r="A904" s="13">
        <v>69398</v>
      </c>
      <c r="B904" s="4">
        <f>113.329 * CHOOSE(CONTROL!$C$9, $C$13, 100%, $E$13) + CHOOSE(CONTROL!$C$28, 0.0003, 0)</f>
        <v>113.32929999999999</v>
      </c>
      <c r="C904" s="4">
        <f>113.0165 * CHOOSE(CONTROL!$C$9, $C$13, 100%, $E$13) + CHOOSE(CONTROL!$C$28, 0.0003, 0)</f>
        <v>113.01679999999999</v>
      </c>
      <c r="D904" s="4">
        <f>95.5103 * CHOOSE(CONTROL!$C$9, $C$13, 100%, $E$13) + CHOOSE(CONTROL!$C$28, 0, 0)</f>
        <v>95.510300000000001</v>
      </c>
      <c r="E904" s="4">
        <f>613.019132574528 * CHOOSE(CONTROL!$C$9, $C$13, 100%, $E$13) + CHOOSE(CONTROL!$C$28, 0, 0)</f>
        <v>613.01913257452804</v>
      </c>
    </row>
    <row r="905" spans="1:5" ht="15">
      <c r="A905" s="13">
        <v>69429</v>
      </c>
      <c r="B905" s="4">
        <f>110.4478 * CHOOSE(CONTROL!$C$9, $C$13, 100%, $E$13) + CHOOSE(CONTROL!$C$28, 0.0003, 0)</f>
        <v>110.4481</v>
      </c>
      <c r="C905" s="4">
        <f>110.1353 * CHOOSE(CONTROL!$C$9, $C$13, 100%, $E$13) + CHOOSE(CONTROL!$C$28, 0.0003, 0)</f>
        <v>110.1356</v>
      </c>
      <c r="D905" s="4">
        <f>92.3399 * CHOOSE(CONTROL!$C$9, $C$13, 100%, $E$13) + CHOOSE(CONTROL!$C$28, 0, 0)</f>
        <v>92.3399</v>
      </c>
      <c r="E905" s="4">
        <f>595.440079882365 * CHOOSE(CONTROL!$C$9, $C$13, 100%, $E$13) + CHOOSE(CONTROL!$C$28, 0, 0)</f>
        <v>595.44007988236501</v>
      </c>
    </row>
    <row r="906" spans="1:5" ht="15">
      <c r="A906" s="13">
        <v>69457</v>
      </c>
      <c r="B906" s="4">
        <f>113.0257 * CHOOSE(CONTROL!$C$9, $C$13, 100%, $E$13) + CHOOSE(CONTROL!$C$28, 0.0003, 0)</f>
        <v>113.026</v>
      </c>
      <c r="C906" s="4">
        <f>112.7132 * CHOOSE(CONTROL!$C$9, $C$13, 100%, $E$13) + CHOOSE(CONTROL!$C$28, 0.0003, 0)</f>
        <v>112.7135</v>
      </c>
      <c r="D906" s="4">
        <f>95.5325 * CHOOSE(CONTROL!$C$9, $C$13, 100%, $E$13) + CHOOSE(CONTROL!$C$28, 0, 0)</f>
        <v>95.532499999999999</v>
      </c>
      <c r="E906" s="4">
        <f>609.578173954204 * CHOOSE(CONTROL!$C$9, $C$13, 100%, $E$13) + CHOOSE(CONTROL!$C$28, 0, 0)</f>
        <v>609.57817395420398</v>
      </c>
    </row>
    <row r="907" spans="1:5" ht="15">
      <c r="A907" s="13">
        <v>69488</v>
      </c>
      <c r="B907" s="4">
        <f>119.7955 * CHOOSE(CONTROL!$C$9, $C$13, 100%, $E$13) + CHOOSE(CONTROL!$C$28, 0.0003, 0)</f>
        <v>119.7958</v>
      </c>
      <c r="C907" s="4">
        <f>119.483 * CHOOSE(CONTROL!$C$9, $C$13, 100%, $E$13) + CHOOSE(CONTROL!$C$28, 0.0003, 0)</f>
        <v>119.4833</v>
      </c>
      <c r="D907" s="4">
        <f>100.5303 * CHOOSE(CONTROL!$C$9, $C$13, 100%, $E$13) + CHOOSE(CONTROL!$C$28, 0, 0)</f>
        <v>100.5303</v>
      </c>
      <c r="E907" s="4">
        <f>646.705560330804 * CHOOSE(CONTROL!$C$9, $C$13, 100%, $E$13) + CHOOSE(CONTROL!$C$28, 0, 0)</f>
        <v>646.70556033080402</v>
      </c>
    </row>
    <row r="908" spans="1:5" ht="15">
      <c r="A908" s="13">
        <v>69518</v>
      </c>
      <c r="B908" s="4">
        <f>124.6056 * CHOOSE(CONTROL!$C$9, $C$13, 100%, $E$13) + CHOOSE(CONTROL!$C$28, 0.0003, 0)</f>
        <v>124.60589999999999</v>
      </c>
      <c r="C908" s="4">
        <f>124.2931 * CHOOSE(CONTROL!$C$9, $C$13, 100%, $E$13) + CHOOSE(CONTROL!$C$28, 0.0003, 0)</f>
        <v>124.29339999999999</v>
      </c>
      <c r="D908" s="4">
        <f>103.4091 * CHOOSE(CONTROL!$C$9, $C$13, 100%, $E$13) + CHOOSE(CONTROL!$C$28, 0, 0)</f>
        <v>103.4091</v>
      </c>
      <c r="E908" s="4">
        <f>673.085063138857 * CHOOSE(CONTROL!$C$9, $C$13, 100%, $E$13) + CHOOSE(CONTROL!$C$28, 0, 0)</f>
        <v>673.08506313885698</v>
      </c>
    </row>
    <row r="909" spans="1:5" ht="15">
      <c r="A909" s="13">
        <v>69549</v>
      </c>
      <c r="B909" s="4">
        <f>127.5444 * CHOOSE(CONTROL!$C$9, $C$13, 100%, $E$13) + CHOOSE(CONTROL!$C$28, 0.0294, 0)</f>
        <v>127.57379999999999</v>
      </c>
      <c r="C909" s="4">
        <f>127.2319 * CHOOSE(CONTROL!$C$9, $C$13, 100%, $E$13) + CHOOSE(CONTROL!$C$28, 0.0294, 0)</f>
        <v>127.26129999999999</v>
      </c>
      <c r="D909" s="4">
        <f>102.2715 * CHOOSE(CONTROL!$C$9, $C$13, 100%, $E$13) + CHOOSE(CONTROL!$C$28, 0, 0)</f>
        <v>102.2715</v>
      </c>
      <c r="E909" s="4">
        <f>689.202307126133 * CHOOSE(CONTROL!$C$9, $C$13, 100%, $E$13) + CHOOSE(CONTROL!$C$28, 0, 0)</f>
        <v>689.20230712613295</v>
      </c>
    </row>
    <row r="910" spans="1:5" ht="15">
      <c r="A910" s="13">
        <v>69579</v>
      </c>
      <c r="B910" s="4">
        <f>127.942 * CHOOSE(CONTROL!$C$9, $C$13, 100%, $E$13) + CHOOSE(CONTROL!$C$28, 0.0294, 0)</f>
        <v>127.97139999999999</v>
      </c>
      <c r="C910" s="4">
        <f>127.6295 * CHOOSE(CONTROL!$C$9, $C$13, 100%, $E$13) + CHOOSE(CONTROL!$C$28, 0.0294, 0)</f>
        <v>127.65889999999999</v>
      </c>
      <c r="D910" s="4">
        <f>103.198 * CHOOSE(CONTROL!$C$9, $C$13, 100%, $E$13) + CHOOSE(CONTROL!$C$28, 0, 0)</f>
        <v>103.19799999999999</v>
      </c>
      <c r="E910" s="4">
        <f>691.383037125548 * CHOOSE(CONTROL!$C$9, $C$13, 100%, $E$13) + CHOOSE(CONTROL!$C$28, 0, 0)</f>
        <v>691.38303712554796</v>
      </c>
    </row>
    <row r="911" spans="1:5" ht="15">
      <c r="A911" s="13">
        <v>69610</v>
      </c>
      <c r="B911" s="4">
        <f>127.9019 * CHOOSE(CONTROL!$C$9, $C$13, 100%, $E$13) + CHOOSE(CONTROL!$C$28, 0.0294, 0)</f>
        <v>127.93129999999999</v>
      </c>
      <c r="C911" s="4">
        <f>127.5894 * CHOOSE(CONTROL!$C$9, $C$13, 100%, $E$13) + CHOOSE(CONTROL!$C$28, 0.0294, 0)</f>
        <v>127.61879999999999</v>
      </c>
      <c r="D911" s="4">
        <f>104.8697 * CHOOSE(CONTROL!$C$9, $C$13, 100%, $E$13) + CHOOSE(CONTROL!$C$28, 0, 0)</f>
        <v>104.86969999999999</v>
      </c>
      <c r="E911" s="4">
        <f>691.163131579388 * CHOOSE(CONTROL!$C$9, $C$13, 100%, $E$13) + CHOOSE(CONTROL!$C$28, 0, 0)</f>
        <v>691.16313157938805</v>
      </c>
    </row>
    <row r="912" spans="1:5" ht="15">
      <c r="A912" s="13">
        <v>69641</v>
      </c>
      <c r="B912" s="4">
        <f>130.9193 * CHOOSE(CONTROL!$C$9, $C$13, 100%, $E$13) + CHOOSE(CONTROL!$C$28, 0.0294, 0)</f>
        <v>130.9487</v>
      </c>
      <c r="C912" s="4">
        <f>130.6068 * CHOOSE(CONTROL!$C$9, $C$13, 100%, $E$13) + CHOOSE(CONTROL!$C$28, 0.0294, 0)</f>
        <v>130.6362</v>
      </c>
      <c r="D912" s="4">
        <f>103.7657 * CHOOSE(CONTROL!$C$9, $C$13, 100%, $E$13) + CHOOSE(CONTROL!$C$28, 0, 0)</f>
        <v>103.7657</v>
      </c>
      <c r="E912" s="4">
        <f>707.711023927892 * CHOOSE(CONTROL!$C$9, $C$13, 100%, $E$13) + CHOOSE(CONTROL!$C$28, 0, 0)</f>
        <v>707.71102392789203</v>
      </c>
    </row>
    <row r="913" spans="1:5" ht="15">
      <c r="A913" s="13">
        <v>69671</v>
      </c>
      <c r="B913" s="4">
        <f>125.7768 * CHOOSE(CONTROL!$C$9, $C$13, 100%, $E$13) + CHOOSE(CONTROL!$C$28, 0.0294, 0)</f>
        <v>125.80619999999999</v>
      </c>
      <c r="C913" s="4">
        <f>125.4643 * CHOOSE(CONTROL!$C$9, $C$13, 100%, $E$13) + CHOOSE(CONTROL!$C$28, 0.0294, 0)</f>
        <v>125.49369999999999</v>
      </c>
      <c r="D913" s="4">
        <f>103.2441 * CHOOSE(CONTROL!$C$9, $C$13, 100%, $E$13) + CHOOSE(CONTROL!$C$28, 0, 0)</f>
        <v>103.2441</v>
      </c>
      <c r="E913" s="4">
        <f>679.508137632934 * CHOOSE(CONTROL!$C$9, $C$13, 100%, $E$13) + CHOOSE(CONTROL!$C$28, 0, 0)</f>
        <v>679.50813763293399</v>
      </c>
    </row>
    <row r="914" spans="1:5" ht="15">
      <c r="A914" s="13">
        <v>69702</v>
      </c>
      <c r="B914" s="4">
        <f>121.6601 * CHOOSE(CONTROL!$C$9, $C$13, 100%, $E$13) + CHOOSE(CONTROL!$C$28, 0.0003, 0)</f>
        <v>121.6604</v>
      </c>
      <c r="C914" s="4">
        <f>121.3476 * CHOOSE(CONTROL!$C$9, $C$13, 100%, $E$13) + CHOOSE(CONTROL!$C$28, 0.0003, 0)</f>
        <v>121.3479</v>
      </c>
      <c r="D914" s="4">
        <f>101.8474 * CHOOSE(CONTROL!$C$9, $C$13, 100%, $E$13) + CHOOSE(CONTROL!$C$28, 0, 0)</f>
        <v>101.84739999999999</v>
      </c>
      <c r="E914" s="4">
        <f>656.931168227222 * CHOOSE(CONTROL!$C$9, $C$13, 100%, $E$13) + CHOOSE(CONTROL!$C$28, 0, 0)</f>
        <v>656.93116822722197</v>
      </c>
    </row>
    <row r="915" spans="1:5" ht="15">
      <c r="A915" s="13">
        <v>69732</v>
      </c>
      <c r="B915" s="4">
        <f>119.0086 * CHOOSE(CONTROL!$C$9, $C$13, 100%, $E$13) + CHOOSE(CONTROL!$C$28, 0.0003, 0)</f>
        <v>119.0089</v>
      </c>
      <c r="C915" s="4">
        <f>118.6961 * CHOOSE(CONTROL!$C$9, $C$13, 100%, $E$13) + CHOOSE(CONTROL!$C$28, 0.0003, 0)</f>
        <v>118.6964</v>
      </c>
      <c r="D915" s="4">
        <f>101.3673 * CHOOSE(CONTROL!$C$9, $C$13, 100%, $E$13) + CHOOSE(CONTROL!$C$28, 0, 0)</f>
        <v>101.3673</v>
      </c>
      <c r="E915" s="4">
        <f>642.389913987423 * CHOOSE(CONTROL!$C$9, $C$13, 100%, $E$13) + CHOOSE(CONTROL!$C$28, 0, 0)</f>
        <v>642.38991398742303</v>
      </c>
    </row>
    <row r="916" spans="1:5" ht="15">
      <c r="A916" s="13">
        <v>69763</v>
      </c>
      <c r="B916" s="4">
        <f>117.1741 * CHOOSE(CONTROL!$C$9, $C$13, 100%, $E$13) + CHOOSE(CONTROL!$C$28, 0.0003, 0)</f>
        <v>117.17439999999999</v>
      </c>
      <c r="C916" s="4">
        <f>116.8616 * CHOOSE(CONTROL!$C$9, $C$13, 100%, $E$13) + CHOOSE(CONTROL!$C$28, 0.0003, 0)</f>
        <v>116.86189999999999</v>
      </c>
      <c r="D916" s="4">
        <f>97.8322 * CHOOSE(CONTROL!$C$9, $C$13, 100%, $E$13) + CHOOSE(CONTROL!$C$28, 0, 0)</f>
        <v>97.8322</v>
      </c>
      <c r="E916" s="4">
        <f>632.329235250625 * CHOOSE(CONTROL!$C$9, $C$13, 100%, $E$13) + CHOOSE(CONTROL!$C$28, 0, 0)</f>
        <v>632.32923525062495</v>
      </c>
    </row>
    <row r="917" spans="1:5" ht="15">
      <c r="A917" s="13">
        <v>69794</v>
      </c>
      <c r="B917" s="4">
        <f>114.1935 * CHOOSE(CONTROL!$C$9, $C$13, 100%, $E$13) + CHOOSE(CONTROL!$C$28, 0.0003, 0)</f>
        <v>114.1938</v>
      </c>
      <c r="C917" s="4">
        <f>113.881 * CHOOSE(CONTROL!$C$9, $C$13, 100%, $E$13) + CHOOSE(CONTROL!$C$28, 0.0003, 0)</f>
        <v>113.8813</v>
      </c>
      <c r="D917" s="4">
        <f>94.5832 * CHOOSE(CONTROL!$C$9, $C$13, 100%, $E$13) + CHOOSE(CONTROL!$C$28, 0, 0)</f>
        <v>94.583200000000005</v>
      </c>
      <c r="E917" s="4">
        <f>614.196442398659 * CHOOSE(CONTROL!$C$9, $C$13, 100%, $E$13) + CHOOSE(CONTROL!$C$28, 0, 0)</f>
        <v>614.19644239865897</v>
      </c>
    </row>
    <row r="918" spans="1:5" ht="15">
      <c r="A918" s="13">
        <v>69822</v>
      </c>
      <c r="B918" s="4">
        <f>116.8604 * CHOOSE(CONTROL!$C$9, $C$13, 100%, $E$13) + CHOOSE(CONTROL!$C$28, 0.0003, 0)</f>
        <v>116.86069999999999</v>
      </c>
      <c r="C918" s="4">
        <f>116.5479 * CHOOSE(CONTROL!$C$9, $C$13, 100%, $E$13) + CHOOSE(CONTROL!$C$28, 0.0003, 0)</f>
        <v>116.54819999999999</v>
      </c>
      <c r="D918" s="4">
        <f>97.855 * CHOOSE(CONTROL!$C$9, $C$13, 100%, $E$13) + CHOOSE(CONTROL!$C$28, 0, 0)</f>
        <v>97.855000000000004</v>
      </c>
      <c r="E918" s="4">
        <f>628.779886433762 * CHOOSE(CONTROL!$C$9, $C$13, 100%, $E$13) + CHOOSE(CONTROL!$C$28, 0, 0)</f>
        <v>628.77988643376204</v>
      </c>
    </row>
    <row r="919" spans="1:5" ht="15">
      <c r="A919" s="13">
        <v>69853</v>
      </c>
      <c r="B919" s="4">
        <f>123.8638 * CHOOSE(CONTROL!$C$9, $C$13, 100%, $E$13) + CHOOSE(CONTROL!$C$28, 0.0003, 0)</f>
        <v>123.86409999999999</v>
      </c>
      <c r="C919" s="4">
        <f>123.5513 * CHOOSE(CONTROL!$C$9, $C$13, 100%, $E$13) + CHOOSE(CONTROL!$C$28, 0.0003, 0)</f>
        <v>123.55159999999999</v>
      </c>
      <c r="D919" s="4">
        <f>102.9767 * CHOOSE(CONTROL!$C$9, $C$13, 100%, $E$13) + CHOOSE(CONTROL!$C$28, 0, 0)</f>
        <v>102.97669999999999</v>
      </c>
      <c r="E919" s="4">
        <f>667.076785481225 * CHOOSE(CONTROL!$C$9, $C$13, 100%, $E$13) + CHOOSE(CONTROL!$C$28, 0, 0)</f>
        <v>667.07678548122499</v>
      </c>
    </row>
    <row r="920" spans="1:5" ht="15">
      <c r="A920" s="13">
        <v>69883</v>
      </c>
      <c r="B920" s="4">
        <f>128.8398 * CHOOSE(CONTROL!$C$9, $C$13, 100%, $E$13) + CHOOSE(CONTROL!$C$28, 0.0003, 0)</f>
        <v>128.84010000000001</v>
      </c>
      <c r="C920" s="4">
        <f>128.5273 * CHOOSE(CONTROL!$C$9, $C$13, 100%, $E$13) + CHOOSE(CONTROL!$C$28, 0.0003, 0)</f>
        <v>128.52760000000001</v>
      </c>
      <c r="D920" s="4">
        <f>105.927 * CHOOSE(CONTROL!$C$9, $C$13, 100%, $E$13) + CHOOSE(CONTROL!$C$28, 0, 0)</f>
        <v>105.92700000000001</v>
      </c>
      <c r="E920" s="4">
        <f>694.287242627731 * CHOOSE(CONTROL!$C$9, $C$13, 100%, $E$13) + CHOOSE(CONTROL!$C$28, 0, 0)</f>
        <v>694.28724262773096</v>
      </c>
    </row>
    <row r="921" spans="1:5" ht="15">
      <c r="A921" s="13">
        <v>69914</v>
      </c>
      <c r="B921" s="4">
        <f>131.88 * CHOOSE(CONTROL!$C$9, $C$13, 100%, $E$13) + CHOOSE(CONTROL!$C$28, 0.0294, 0)</f>
        <v>131.90940000000001</v>
      </c>
      <c r="C921" s="4">
        <f>131.5675 * CHOOSE(CONTROL!$C$9, $C$13, 100%, $E$13) + CHOOSE(CONTROL!$C$28, 0.0294, 0)</f>
        <v>131.59690000000001</v>
      </c>
      <c r="D921" s="4">
        <f>104.7612 * CHOOSE(CONTROL!$C$9, $C$13, 100%, $E$13) + CHOOSE(CONTROL!$C$28, 0, 0)</f>
        <v>104.7612</v>
      </c>
      <c r="E921" s="4">
        <f>710.912179800606 * CHOOSE(CONTROL!$C$9, $C$13, 100%, $E$13) + CHOOSE(CONTROL!$C$28, 0, 0)</f>
        <v>710.91217980060605</v>
      </c>
    </row>
    <row r="922" spans="1:5" ht="15">
      <c r="A922" s="13">
        <v>69944</v>
      </c>
      <c r="B922" s="4">
        <f>132.2913 * CHOOSE(CONTROL!$C$9, $C$13, 100%, $E$13) + CHOOSE(CONTROL!$C$28, 0.0294, 0)</f>
        <v>132.32070000000002</v>
      </c>
      <c r="C922" s="4">
        <f>131.9788 * CHOOSE(CONTROL!$C$9, $C$13, 100%, $E$13) + CHOOSE(CONTROL!$C$28, 0.0294, 0)</f>
        <v>132.00820000000002</v>
      </c>
      <c r="D922" s="4">
        <f>105.7106 * CHOOSE(CONTROL!$C$9, $C$13, 100%, $E$13) + CHOOSE(CONTROL!$C$28, 0, 0)</f>
        <v>105.7106</v>
      </c>
      <c r="E922" s="4">
        <f>713.161602795002 * CHOOSE(CONTROL!$C$9, $C$13, 100%, $E$13) + CHOOSE(CONTROL!$C$28, 0, 0)</f>
        <v>713.16160279500195</v>
      </c>
    </row>
    <row r="923" spans="1:5" ht="15">
      <c r="A923" s="13">
        <v>69975</v>
      </c>
      <c r="B923" s="4">
        <f>132.2499 * CHOOSE(CONTROL!$C$9, $C$13, 100%, $E$13) + CHOOSE(CONTROL!$C$28, 0.0294, 0)</f>
        <v>132.27930000000001</v>
      </c>
      <c r="C923" s="4">
        <f>131.9374 * CHOOSE(CONTROL!$C$9, $C$13, 100%, $E$13) + CHOOSE(CONTROL!$C$28, 0.0294, 0)</f>
        <v>131.96680000000001</v>
      </c>
      <c r="D923" s="4">
        <f>107.4238 * CHOOSE(CONTROL!$C$9, $C$13, 100%, $E$13) + CHOOSE(CONTROL!$C$28, 0, 0)</f>
        <v>107.4238</v>
      </c>
      <c r="E923" s="4">
        <f>712.934770224139 * CHOOSE(CONTROL!$C$9, $C$13, 100%, $E$13) + CHOOSE(CONTROL!$C$28, 0, 0)</f>
        <v>712.93477022413902</v>
      </c>
    </row>
    <row r="924" spans="1:5" ht="15">
      <c r="A924" s="13">
        <v>70006</v>
      </c>
      <c r="B924" s="4">
        <f>135.3713 * CHOOSE(CONTROL!$C$9, $C$13, 100%, $E$13) + CHOOSE(CONTROL!$C$28, 0.0294, 0)</f>
        <v>135.4007</v>
      </c>
      <c r="C924" s="4">
        <f>135.0588 * CHOOSE(CONTROL!$C$9, $C$13, 100%, $E$13) + CHOOSE(CONTROL!$C$28, 0.0294, 0)</f>
        <v>135.0882</v>
      </c>
      <c r="D924" s="4">
        <f>106.2924 * CHOOSE(CONTROL!$C$9, $C$13, 100%, $E$13) + CHOOSE(CONTROL!$C$28, 0, 0)</f>
        <v>106.2924</v>
      </c>
      <c r="E924" s="4">
        <f>730.003921181621 * CHOOSE(CONTROL!$C$9, $C$13, 100%, $E$13) + CHOOSE(CONTROL!$C$28, 0, 0)</f>
        <v>730.00392118162097</v>
      </c>
    </row>
    <row r="925" spans="1:5" ht="15">
      <c r="A925" s="13">
        <v>70036</v>
      </c>
      <c r="B925" s="4">
        <f>130.0514 * CHOOSE(CONTROL!$C$9, $C$13, 100%, $E$13) + CHOOSE(CONTROL!$C$28, 0.0294, 0)</f>
        <v>130.08080000000001</v>
      </c>
      <c r="C925" s="4">
        <f>129.7389 * CHOOSE(CONTROL!$C$9, $C$13, 100%, $E$13) + CHOOSE(CONTROL!$C$28, 0.0294, 0)</f>
        <v>129.76830000000001</v>
      </c>
      <c r="D925" s="4">
        <f>105.7579 * CHOOSE(CONTROL!$C$9, $C$13, 100%, $E$13) + CHOOSE(CONTROL!$C$28, 0, 0)</f>
        <v>105.75790000000001</v>
      </c>
      <c r="E925" s="4">
        <f>700.912643968371 * CHOOSE(CONTROL!$C$9, $C$13, 100%, $E$13) + CHOOSE(CONTROL!$C$28, 0, 0)</f>
        <v>700.91264396837096</v>
      </c>
    </row>
    <row r="926" spans="1:5" ht="15">
      <c r="A926" s="13">
        <v>70067</v>
      </c>
      <c r="B926" s="4">
        <f>125.7927 * CHOOSE(CONTROL!$C$9, $C$13, 100%, $E$13) + CHOOSE(CONTROL!$C$28, 0.0003, 0)</f>
        <v>125.79299999999999</v>
      </c>
      <c r="C926" s="4">
        <f>125.4802 * CHOOSE(CONTROL!$C$9, $C$13, 100%, $E$13) + CHOOSE(CONTROL!$C$28, 0.0003, 0)</f>
        <v>125.48049999999999</v>
      </c>
      <c r="D926" s="4">
        <f>104.3266 * CHOOSE(CONTROL!$C$9, $C$13, 100%, $E$13) + CHOOSE(CONTROL!$C$28, 0, 0)</f>
        <v>104.3266</v>
      </c>
      <c r="E926" s="4">
        <f>677.62450002638 * CHOOSE(CONTROL!$C$9, $C$13, 100%, $E$13) + CHOOSE(CONTROL!$C$28, 0, 0)</f>
        <v>677.62450002638002</v>
      </c>
    </row>
    <row r="927" spans="1:5" ht="15">
      <c r="A927" s="13">
        <v>70097</v>
      </c>
      <c r="B927" s="4">
        <f>123.0497 * CHOOSE(CONTROL!$C$9, $C$13, 100%, $E$13) + CHOOSE(CONTROL!$C$28, 0.0003, 0)</f>
        <v>123.05</v>
      </c>
      <c r="C927" s="4">
        <f>122.7372 * CHOOSE(CONTROL!$C$9, $C$13, 100%, $E$13) + CHOOSE(CONTROL!$C$28, 0.0003, 0)</f>
        <v>122.7375</v>
      </c>
      <c r="D927" s="4">
        <f>103.8345 * CHOOSE(CONTROL!$C$9, $C$13, 100%, $E$13) + CHOOSE(CONTROL!$C$28, 0, 0)</f>
        <v>103.83450000000001</v>
      </c>
      <c r="E927" s="4">
        <f>662.625196278027 * CHOOSE(CONTROL!$C$9, $C$13, 100%, $E$13) + CHOOSE(CONTROL!$C$28, 0, 0)</f>
        <v>662.62519627802703</v>
      </c>
    </row>
    <row r="928" spans="1:5" ht="15">
      <c r="A928" s="13">
        <v>70128</v>
      </c>
      <c r="B928" s="4">
        <f>121.152 * CHOOSE(CONTROL!$C$9, $C$13, 100%, $E$13) + CHOOSE(CONTROL!$C$28, 0.0003, 0)</f>
        <v>121.1523</v>
      </c>
      <c r="C928" s="4">
        <f>120.8395 * CHOOSE(CONTROL!$C$9, $C$13, 100%, $E$13) + CHOOSE(CONTROL!$C$28, 0.0003, 0)</f>
        <v>120.8398</v>
      </c>
      <c r="D928" s="4">
        <f>100.2118 * CHOOSE(CONTROL!$C$9, $C$13, 100%, $E$13) + CHOOSE(CONTROL!$C$28, 0, 0)</f>
        <v>100.2118</v>
      </c>
      <c r="E928" s="4">
        <f>652.24760616102 * CHOOSE(CONTROL!$C$9, $C$13, 100%, $E$13) + CHOOSE(CONTROL!$C$28, 0, 0)</f>
        <v>652.24760616102003</v>
      </c>
    </row>
    <row r="929" spans="1:5" ht="15">
      <c r="A929" s="13">
        <v>70159</v>
      </c>
      <c r="B929" s="4">
        <f>118.0685 * CHOOSE(CONTROL!$C$9, $C$13, 100%, $E$13) + CHOOSE(CONTROL!$C$28, 0.0003, 0)</f>
        <v>118.0688</v>
      </c>
      <c r="C929" s="4">
        <f>117.756 * CHOOSE(CONTROL!$C$9, $C$13, 100%, $E$13) + CHOOSE(CONTROL!$C$28, 0.0003, 0)</f>
        <v>117.7563</v>
      </c>
      <c r="D929" s="4">
        <f>96.8822 * CHOOSE(CONTROL!$C$9, $C$13, 100%, $E$13) + CHOOSE(CONTROL!$C$28, 0, 0)</f>
        <v>96.882199999999997</v>
      </c>
      <c r="E929" s="4">
        <f>633.543630334217 * CHOOSE(CONTROL!$C$9, $C$13, 100%, $E$13) + CHOOSE(CONTROL!$C$28, 0, 0)</f>
        <v>633.54363033421703</v>
      </c>
    </row>
    <row r="930" spans="1:5" ht="15">
      <c r="A930" s="13">
        <v>70188</v>
      </c>
      <c r="B930" s="4">
        <f>120.8274 * CHOOSE(CONTROL!$C$9, $C$13, 100%, $E$13) + CHOOSE(CONTROL!$C$28, 0.0003, 0)</f>
        <v>120.82769999999999</v>
      </c>
      <c r="C930" s="4">
        <f>120.5149 * CHOOSE(CONTROL!$C$9, $C$13, 100%, $E$13) + CHOOSE(CONTROL!$C$28, 0.0003, 0)</f>
        <v>120.51519999999999</v>
      </c>
      <c r="D930" s="4">
        <f>100.2351 * CHOOSE(CONTROL!$C$9, $C$13, 100%, $E$13) + CHOOSE(CONTROL!$C$28, 0, 0)</f>
        <v>100.2351</v>
      </c>
      <c r="E930" s="4">
        <f>648.586452856425 * CHOOSE(CONTROL!$C$9, $C$13, 100%, $E$13) + CHOOSE(CONTROL!$C$28, 0, 0)</f>
        <v>648.58645285642501</v>
      </c>
    </row>
    <row r="931" spans="1:5" ht="15">
      <c r="A931" s="13">
        <v>70219</v>
      </c>
      <c r="B931" s="4">
        <f>128.0724 * CHOOSE(CONTROL!$C$9, $C$13, 100%, $E$13) + CHOOSE(CONTROL!$C$28, 0.0003, 0)</f>
        <v>128.0727</v>
      </c>
      <c r="C931" s="4">
        <f>127.7599 * CHOOSE(CONTROL!$C$9, $C$13, 100%, $E$13) + CHOOSE(CONTROL!$C$28, 0.0003, 0)</f>
        <v>127.7602</v>
      </c>
      <c r="D931" s="4">
        <f>105.4838 * CHOOSE(CONTROL!$C$9, $C$13, 100%, $E$13) + CHOOSE(CONTROL!$C$28, 0, 0)</f>
        <v>105.4838</v>
      </c>
      <c r="E931" s="4">
        <f>688.089704223883 * CHOOSE(CONTROL!$C$9, $C$13, 100%, $E$13) + CHOOSE(CONTROL!$C$28, 0, 0)</f>
        <v>688.08970422388302</v>
      </c>
    </row>
    <row r="932" spans="1:5" ht="15">
      <c r="A932" s="13">
        <v>70249</v>
      </c>
      <c r="B932" s="4">
        <f>133.2201 * CHOOSE(CONTROL!$C$9, $C$13, 100%, $E$13) + CHOOSE(CONTROL!$C$28, 0.0003, 0)</f>
        <v>133.22040000000001</v>
      </c>
      <c r="C932" s="4">
        <f>132.9076 * CHOOSE(CONTROL!$C$9, $C$13, 100%, $E$13) + CHOOSE(CONTROL!$C$28, 0.0003, 0)</f>
        <v>132.90790000000001</v>
      </c>
      <c r="D932" s="4">
        <f>108.5073 * CHOOSE(CONTROL!$C$9, $C$13, 100%, $E$13) + CHOOSE(CONTROL!$C$28, 0, 0)</f>
        <v>108.5073</v>
      </c>
      <c r="E932" s="4">
        <f>716.157290770505 * CHOOSE(CONTROL!$C$9, $C$13, 100%, $E$13) + CHOOSE(CONTROL!$C$28, 0, 0)</f>
        <v>716.15729077050503</v>
      </c>
    </row>
    <row r="933" spans="1:5" ht="15">
      <c r="A933" s="13">
        <v>70280</v>
      </c>
      <c r="B933" s="4">
        <f>136.3652 * CHOOSE(CONTROL!$C$9, $C$13, 100%, $E$13) + CHOOSE(CONTROL!$C$28, 0.0294, 0)</f>
        <v>136.3946</v>
      </c>
      <c r="C933" s="4">
        <f>136.0527 * CHOOSE(CONTROL!$C$9, $C$13, 100%, $E$13) + CHOOSE(CONTROL!$C$28, 0.0294, 0)</f>
        <v>136.0821</v>
      </c>
      <c r="D933" s="4">
        <f>107.3126 * CHOOSE(CONTROL!$C$9, $C$13, 100%, $E$13) + CHOOSE(CONTROL!$C$28, 0, 0)</f>
        <v>107.3126</v>
      </c>
      <c r="E933" s="4">
        <f>733.305913464325 * CHOOSE(CONTROL!$C$9, $C$13, 100%, $E$13) + CHOOSE(CONTROL!$C$28, 0, 0)</f>
        <v>733.30591346432504</v>
      </c>
    </row>
    <row r="934" spans="1:5" ht="15">
      <c r="A934" s="13">
        <v>70310</v>
      </c>
      <c r="B934" s="4">
        <f>136.7907 * CHOOSE(CONTROL!$C$9, $C$13, 100%, $E$13) + CHOOSE(CONTROL!$C$28, 0.0294, 0)</f>
        <v>136.8201</v>
      </c>
      <c r="C934" s="4">
        <f>136.4782 * CHOOSE(CONTROL!$C$9, $C$13, 100%, $E$13) + CHOOSE(CONTROL!$C$28, 0.0294, 0)</f>
        <v>136.5076</v>
      </c>
      <c r="D934" s="4">
        <f>108.2856 * CHOOSE(CONTROL!$C$9, $C$13, 100%, $E$13) + CHOOSE(CONTROL!$C$28, 0, 0)</f>
        <v>108.2856</v>
      </c>
      <c r="E934" s="4">
        <f>735.626193283045 * CHOOSE(CONTROL!$C$9, $C$13, 100%, $E$13) + CHOOSE(CONTROL!$C$28, 0, 0)</f>
        <v>735.62619328304504</v>
      </c>
    </row>
    <row r="935" spans="1:5" ht="15">
      <c r="A935" s="13">
        <v>70341</v>
      </c>
      <c r="B935" s="4">
        <f>136.7478 * CHOOSE(CONTROL!$C$9, $C$13, 100%, $E$13) + CHOOSE(CONTROL!$C$28, 0.0294, 0)</f>
        <v>136.77720000000002</v>
      </c>
      <c r="C935" s="4">
        <f>136.4353 * CHOOSE(CONTROL!$C$9, $C$13, 100%, $E$13) + CHOOSE(CONTROL!$C$28, 0.0294, 0)</f>
        <v>136.46470000000002</v>
      </c>
      <c r="D935" s="4">
        <f>110.0412 * CHOOSE(CONTROL!$C$9, $C$13, 100%, $E$13) + CHOOSE(CONTROL!$C$28, 0, 0)</f>
        <v>110.0412</v>
      </c>
      <c r="E935" s="4">
        <f>735.392215486199 * CHOOSE(CONTROL!$C$9, $C$13, 100%, $E$13) + CHOOSE(CONTROL!$C$28, 0, 0)</f>
        <v>735.39221548619901</v>
      </c>
    </row>
    <row r="936" spans="1:5" ht="15">
      <c r="A936" s="13">
        <v>70372</v>
      </c>
      <c r="B936" s="4">
        <f>139.9769 * CHOOSE(CONTROL!$C$9, $C$13, 100%, $E$13) + CHOOSE(CONTROL!$C$28, 0.0294, 0)</f>
        <v>140.00630000000001</v>
      </c>
      <c r="C936" s="4">
        <f>139.6644 * CHOOSE(CONTROL!$C$9, $C$13, 100%, $E$13) + CHOOSE(CONTROL!$C$28, 0.0294, 0)</f>
        <v>139.69380000000001</v>
      </c>
      <c r="D936" s="4">
        <f>108.8818 * CHOOSE(CONTROL!$C$9, $C$13, 100%, $E$13) + CHOOSE(CONTROL!$C$28, 0, 0)</f>
        <v>108.8818</v>
      </c>
      <c r="E936" s="4">
        <f>752.999044698842 * CHOOSE(CONTROL!$C$9, $C$13, 100%, $E$13) + CHOOSE(CONTROL!$C$28, 0, 0)</f>
        <v>752.999044698842</v>
      </c>
    </row>
    <row r="937" spans="1:5" ht="15">
      <c r="A937" s="13">
        <v>70402</v>
      </c>
      <c r="B937" s="4">
        <f>134.4735 * CHOOSE(CONTROL!$C$9, $C$13, 100%, $E$13) + CHOOSE(CONTROL!$C$28, 0.0294, 0)</f>
        <v>134.50290000000001</v>
      </c>
      <c r="C937" s="4">
        <f>134.161 * CHOOSE(CONTROL!$C$9, $C$13, 100%, $E$13) + CHOOSE(CONTROL!$C$28, 0.0294, 0)</f>
        <v>134.19040000000001</v>
      </c>
      <c r="D937" s="4">
        <f>108.334 * CHOOSE(CONTROL!$C$9, $C$13, 100%, $E$13) + CHOOSE(CONTROL!$C$28, 0, 0)</f>
        <v>108.334</v>
      </c>
      <c r="E937" s="4">
        <f>722.991392253375 * CHOOSE(CONTROL!$C$9, $C$13, 100%, $E$13) + CHOOSE(CONTROL!$C$28, 0, 0)</f>
        <v>722.99139225337501</v>
      </c>
    </row>
    <row r="938" spans="1:5" ht="15">
      <c r="A938" s="13">
        <v>70433</v>
      </c>
      <c r="B938" s="4">
        <f>130.0678 * CHOOSE(CONTROL!$C$9, $C$13, 100%, $E$13) + CHOOSE(CONTROL!$C$28, 0.0003, 0)</f>
        <v>130.06810000000002</v>
      </c>
      <c r="C938" s="4">
        <f>129.7553 * CHOOSE(CONTROL!$C$9, $C$13, 100%, $E$13) + CHOOSE(CONTROL!$C$28, 0.0003, 0)</f>
        <v>129.75560000000002</v>
      </c>
      <c r="D938" s="4">
        <f>106.8672 * CHOOSE(CONTROL!$C$9, $C$13, 100%, $E$13) + CHOOSE(CONTROL!$C$28, 0, 0)</f>
        <v>106.8672</v>
      </c>
      <c r="E938" s="4">
        <f>698.969671777211 * CHOOSE(CONTROL!$C$9, $C$13, 100%, $E$13) + CHOOSE(CONTROL!$C$28, 0, 0)</f>
        <v>698.96967177721103</v>
      </c>
    </row>
    <row r="939" spans="1:5" ht="15">
      <c r="A939" s="13">
        <v>70463</v>
      </c>
      <c r="B939" s="4">
        <f>127.2303 * CHOOSE(CONTROL!$C$9, $C$13, 100%, $E$13) + CHOOSE(CONTROL!$C$28, 0.0003, 0)</f>
        <v>127.2306</v>
      </c>
      <c r="C939" s="4">
        <f>126.9178 * CHOOSE(CONTROL!$C$9, $C$13, 100%, $E$13) + CHOOSE(CONTROL!$C$28, 0.0003, 0)</f>
        <v>126.9181</v>
      </c>
      <c r="D939" s="4">
        <f>106.3629 * CHOOSE(CONTROL!$C$9, $C$13, 100%, $E$13) + CHOOSE(CONTROL!$C$28, 0, 0)</f>
        <v>106.3629</v>
      </c>
      <c r="E939" s="4">
        <f>683.497889960785 * CHOOSE(CONTROL!$C$9, $C$13, 100%, $E$13) + CHOOSE(CONTROL!$C$28, 0, 0)</f>
        <v>683.49788996078496</v>
      </c>
    </row>
    <row r="940" spans="1:5" ht="15">
      <c r="A940" s="13">
        <v>70494</v>
      </c>
      <c r="B940" s="4">
        <f>125.267 * CHOOSE(CONTROL!$C$9, $C$13, 100%, $E$13) + CHOOSE(CONTROL!$C$28, 0.0003, 0)</f>
        <v>125.26729999999999</v>
      </c>
      <c r="C940" s="4">
        <f>124.9545 * CHOOSE(CONTROL!$C$9, $C$13, 100%, $E$13) + CHOOSE(CONTROL!$C$28, 0.0003, 0)</f>
        <v>124.95479999999999</v>
      </c>
      <c r="D940" s="4">
        <f>102.6504 * CHOOSE(CONTROL!$C$9, $C$13, 100%, $E$13) + CHOOSE(CONTROL!$C$28, 0, 0)</f>
        <v>102.6504</v>
      </c>
      <c r="E940" s="4">
        <f>672.793405755092 * CHOOSE(CONTROL!$C$9, $C$13, 100%, $E$13) + CHOOSE(CONTROL!$C$28, 0, 0)</f>
        <v>672.79340575509195</v>
      </c>
    </row>
    <row r="941" spans="1:5" ht="15">
      <c r="A941" s="13">
        <v>70525</v>
      </c>
      <c r="B941" s="4">
        <f>122.0772 * CHOOSE(CONTROL!$C$9, $C$13, 100%, $E$13) + CHOOSE(CONTROL!$C$28, 0.0003, 0)</f>
        <v>122.0775</v>
      </c>
      <c r="C941" s="4">
        <f>121.7647 * CHOOSE(CONTROL!$C$9, $C$13, 100%, $E$13) + CHOOSE(CONTROL!$C$28, 0.0003, 0)</f>
        <v>121.765</v>
      </c>
      <c r="D941" s="4">
        <f>99.2382 * CHOOSE(CONTROL!$C$9, $C$13, 100%, $E$13) + CHOOSE(CONTROL!$C$28, 0, 0)</f>
        <v>99.238200000000006</v>
      </c>
      <c r="E941" s="4">
        <f>653.500254689745 * CHOOSE(CONTROL!$C$9, $C$13, 100%, $E$13) + CHOOSE(CONTROL!$C$28, 0, 0)</f>
        <v>653.50025468974502</v>
      </c>
    </row>
    <row r="942" spans="1:5" ht="15">
      <c r="A942" s="13">
        <v>70553</v>
      </c>
      <c r="B942" s="4">
        <f>124.9313 * CHOOSE(CONTROL!$C$9, $C$13, 100%, $E$13) + CHOOSE(CONTROL!$C$28, 0.0003, 0)</f>
        <v>124.93159999999999</v>
      </c>
      <c r="C942" s="4">
        <f>124.6188 * CHOOSE(CONTROL!$C$9, $C$13, 100%, $E$13) + CHOOSE(CONTROL!$C$28, 0.0003, 0)</f>
        <v>124.61909999999999</v>
      </c>
      <c r="D942" s="4">
        <f>102.6743 * CHOOSE(CONTROL!$C$9, $C$13, 100%, $E$13) + CHOOSE(CONTROL!$C$28, 0, 0)</f>
        <v>102.6743</v>
      </c>
      <c r="E942" s="4">
        <f>669.016926121403 * CHOOSE(CONTROL!$C$9, $C$13, 100%, $E$13) + CHOOSE(CONTROL!$C$28, 0, 0)</f>
        <v>669.016926121403</v>
      </c>
    </row>
    <row r="943" spans="1:5" ht="15">
      <c r="A943" s="13">
        <v>70584</v>
      </c>
      <c r="B943" s="4">
        <f>132.4262 * CHOOSE(CONTROL!$C$9, $C$13, 100%, $E$13) + CHOOSE(CONTROL!$C$28, 0.0003, 0)</f>
        <v>132.4265</v>
      </c>
      <c r="C943" s="4">
        <f>132.1137 * CHOOSE(CONTROL!$C$9, $C$13, 100%, $E$13) + CHOOSE(CONTROL!$C$28, 0.0003, 0)</f>
        <v>132.114</v>
      </c>
      <c r="D943" s="4">
        <f>108.0532 * CHOOSE(CONTROL!$C$9, $C$13, 100%, $E$13) + CHOOSE(CONTROL!$C$28, 0, 0)</f>
        <v>108.0532</v>
      </c>
      <c r="E943" s="4">
        <f>709.764529906935 * CHOOSE(CONTROL!$C$9, $C$13, 100%, $E$13) + CHOOSE(CONTROL!$C$28, 0, 0)</f>
        <v>709.76452990693497</v>
      </c>
    </row>
    <row r="944" spans="1:5" ht="15">
      <c r="A944" s="13">
        <v>70614</v>
      </c>
      <c r="B944" s="4">
        <f>137.7515 * CHOOSE(CONTROL!$C$9, $C$13, 100%, $E$13) + CHOOSE(CONTROL!$C$28, 0.0003, 0)</f>
        <v>137.7518</v>
      </c>
      <c r="C944" s="4">
        <f>137.439 * CHOOSE(CONTROL!$C$9, $C$13, 100%, $E$13) + CHOOSE(CONTROL!$C$28, 0.0003, 0)</f>
        <v>137.4393</v>
      </c>
      <c r="D944" s="4">
        <f>111.1516 * CHOOSE(CONTROL!$C$9, $C$13, 100%, $E$13) + CHOOSE(CONTROL!$C$28, 0, 0)</f>
        <v>111.1516</v>
      </c>
      <c r="E944" s="4">
        <f>738.716245429776 * CHOOSE(CONTROL!$C$9, $C$13, 100%, $E$13) + CHOOSE(CONTROL!$C$28, 0, 0)</f>
        <v>738.716245429776</v>
      </c>
    </row>
    <row r="945" spans="1:5" ht="15">
      <c r="A945" s="13">
        <v>70645</v>
      </c>
      <c r="B945" s="4">
        <f>141.0051 * CHOOSE(CONTROL!$C$9, $C$13, 100%, $E$13) + CHOOSE(CONTROL!$C$28, 0.0294, 0)</f>
        <v>141.03450000000001</v>
      </c>
      <c r="C945" s="4">
        <f>140.6926 * CHOOSE(CONTROL!$C$9, $C$13, 100%, $E$13) + CHOOSE(CONTROL!$C$28, 0.0294, 0)</f>
        <v>140.72200000000001</v>
      </c>
      <c r="D945" s="4">
        <f>109.9272 * CHOOSE(CONTROL!$C$9, $C$13, 100%, $E$13) + CHOOSE(CONTROL!$C$28, 0, 0)</f>
        <v>109.9272</v>
      </c>
      <c r="E945" s="4">
        <f>756.405049738451 * CHOOSE(CONTROL!$C$9, $C$13, 100%, $E$13) + CHOOSE(CONTROL!$C$28, 0, 0)</f>
        <v>756.405049738451</v>
      </c>
    </row>
    <row r="946" spans="1:5" ht="15">
      <c r="A946" s="13">
        <v>70675</v>
      </c>
      <c r="B946" s="4">
        <f>141.4453 * CHOOSE(CONTROL!$C$9, $C$13, 100%, $E$13) + CHOOSE(CONTROL!$C$28, 0.0294, 0)</f>
        <v>141.47470000000001</v>
      </c>
      <c r="C946" s="4">
        <f>141.1328 * CHOOSE(CONTROL!$C$9, $C$13, 100%, $E$13) + CHOOSE(CONTROL!$C$28, 0.0294, 0)</f>
        <v>141.16220000000001</v>
      </c>
      <c r="D946" s="4">
        <f>110.9243 * CHOOSE(CONTROL!$C$9, $C$13, 100%, $E$13) + CHOOSE(CONTROL!$C$28, 0, 0)</f>
        <v>110.9243</v>
      </c>
      <c r="E946" s="4">
        <f>758.798418371461 * CHOOSE(CONTROL!$C$9, $C$13, 100%, $E$13) + CHOOSE(CONTROL!$C$28, 0, 0)</f>
        <v>758.79841837146103</v>
      </c>
    </row>
    <row r="947" spans="1:5" ht="15">
      <c r="A947" s="13">
        <v>70706</v>
      </c>
      <c r="B947" s="4">
        <f>141.4009 * CHOOSE(CONTROL!$C$9, $C$13, 100%, $E$13) + CHOOSE(CONTROL!$C$28, 0.0294, 0)</f>
        <v>141.43030000000002</v>
      </c>
      <c r="C947" s="4">
        <f>141.0884 * CHOOSE(CONTROL!$C$9, $C$13, 100%, $E$13) + CHOOSE(CONTROL!$C$28, 0.0294, 0)</f>
        <v>141.11780000000002</v>
      </c>
      <c r="D947" s="4">
        <f>112.7235 * CHOOSE(CONTROL!$C$9, $C$13, 100%, $E$13) + CHOOSE(CONTROL!$C$28, 0, 0)</f>
        <v>112.7235</v>
      </c>
      <c r="E947" s="4">
        <f>758.557070274015 * CHOOSE(CONTROL!$C$9, $C$13, 100%, $E$13) + CHOOSE(CONTROL!$C$28, 0, 0)</f>
        <v>758.55707027401502</v>
      </c>
    </row>
    <row r="948" spans="1:5" ht="15">
      <c r="A948" s="13">
        <v>70737</v>
      </c>
      <c r="B948" s="4">
        <f>144.7415 * CHOOSE(CONTROL!$C$9, $C$13, 100%, $E$13) + CHOOSE(CONTROL!$C$28, 0.0294, 0)</f>
        <v>144.77090000000001</v>
      </c>
      <c r="C948" s="4">
        <f>144.429 * CHOOSE(CONTROL!$C$9, $C$13, 100%, $E$13) + CHOOSE(CONTROL!$C$28, 0.0294, 0)</f>
        <v>144.45840000000001</v>
      </c>
      <c r="D948" s="4">
        <f>111.5353 * CHOOSE(CONTROL!$C$9, $C$13, 100%, $E$13) + CHOOSE(CONTROL!$C$28, 0, 0)</f>
        <v>111.53530000000001</v>
      </c>
      <c r="E948" s="4">
        <f>776.718514606856 * CHOOSE(CONTROL!$C$9, $C$13, 100%, $E$13) + CHOOSE(CONTROL!$C$28, 0, 0)</f>
        <v>776.71851460685605</v>
      </c>
    </row>
    <row r="949" spans="1:5" ht="15">
      <c r="A949" s="13">
        <v>70767</v>
      </c>
      <c r="B949" s="4">
        <f>139.0481 * CHOOSE(CONTROL!$C$9, $C$13, 100%, $E$13) + CHOOSE(CONTROL!$C$28, 0.0294, 0)</f>
        <v>139.07750000000001</v>
      </c>
      <c r="C949" s="4">
        <f>138.7356 * CHOOSE(CONTROL!$C$9, $C$13, 100%, $E$13) + CHOOSE(CONTROL!$C$28, 0.0294, 0)</f>
        <v>138.76500000000001</v>
      </c>
      <c r="D949" s="4">
        <f>110.974 * CHOOSE(CONTROL!$C$9, $C$13, 100%, $E$13) + CHOOSE(CONTROL!$C$28, 0, 0)</f>
        <v>110.974</v>
      </c>
      <c r="E949" s="4">
        <f>745.765621109356 * CHOOSE(CONTROL!$C$9, $C$13, 100%, $E$13) + CHOOSE(CONTROL!$C$28, 0, 0)</f>
        <v>745.76562110935595</v>
      </c>
    </row>
    <row r="950" spans="1:5" ht="15">
      <c r="A950" s="13">
        <v>70798</v>
      </c>
      <c r="B950" s="4">
        <f>134.4905 * CHOOSE(CONTROL!$C$9, $C$13, 100%, $E$13) + CHOOSE(CONTROL!$C$28, 0.0003, 0)</f>
        <v>134.49080000000001</v>
      </c>
      <c r="C950" s="4">
        <f>134.178 * CHOOSE(CONTROL!$C$9, $C$13, 100%, $E$13) + CHOOSE(CONTROL!$C$28, 0.0003, 0)</f>
        <v>134.17830000000001</v>
      </c>
      <c r="D950" s="4">
        <f>109.4708 * CHOOSE(CONTROL!$C$9, $C$13, 100%, $E$13) + CHOOSE(CONTROL!$C$28, 0, 0)</f>
        <v>109.4708</v>
      </c>
      <c r="E950" s="4">
        <f>720.987216438193 * CHOOSE(CONTROL!$C$9, $C$13, 100%, $E$13) + CHOOSE(CONTROL!$C$28, 0, 0)</f>
        <v>720.98721643819295</v>
      </c>
    </row>
    <row r="951" spans="1:5" ht="15">
      <c r="A951" s="13">
        <v>70828</v>
      </c>
      <c r="B951" s="4">
        <f>131.555 * CHOOSE(CONTROL!$C$9, $C$13, 100%, $E$13) + CHOOSE(CONTROL!$C$28, 0.0003, 0)</f>
        <v>131.55530000000002</v>
      </c>
      <c r="C951" s="4">
        <f>131.2425 * CHOOSE(CONTROL!$C$9, $C$13, 100%, $E$13) + CHOOSE(CONTROL!$C$28, 0.0003, 0)</f>
        <v>131.24280000000002</v>
      </c>
      <c r="D951" s="4">
        <f>108.954 * CHOOSE(CONTROL!$C$9, $C$13, 100%, $E$13) + CHOOSE(CONTROL!$C$28, 0, 0)</f>
        <v>108.95399999999999</v>
      </c>
      <c r="E951" s="4">
        <f>705.02807349455 * CHOOSE(CONTROL!$C$9, $C$13, 100%, $E$13) + CHOOSE(CONTROL!$C$28, 0, 0)</f>
        <v>705.02807349454997</v>
      </c>
    </row>
    <row r="952" spans="1:5" ht="15">
      <c r="A952" s="13">
        <v>70859</v>
      </c>
      <c r="B952" s="4">
        <f>129.524 * CHOOSE(CONTROL!$C$9, $C$13, 100%, $E$13) + CHOOSE(CONTROL!$C$28, 0.0003, 0)</f>
        <v>129.52430000000001</v>
      </c>
      <c r="C952" s="4">
        <f>129.2115 * CHOOSE(CONTROL!$C$9, $C$13, 100%, $E$13) + CHOOSE(CONTROL!$C$28, 0.0003, 0)</f>
        <v>129.21180000000001</v>
      </c>
      <c r="D952" s="4">
        <f>105.1494 * CHOOSE(CONTROL!$C$9, $C$13, 100%, $E$13) + CHOOSE(CONTROL!$C$28, 0, 0)</f>
        <v>105.1494</v>
      </c>
      <c r="E952" s="4">
        <f>693.986398036378 * CHOOSE(CONTROL!$C$9, $C$13, 100%, $E$13) + CHOOSE(CONTROL!$C$28, 0, 0)</f>
        <v>693.98639803637798</v>
      </c>
    </row>
    <row r="953" spans="1:5" ht="15">
      <c r="A953" s="13">
        <v>70890</v>
      </c>
      <c r="B953" s="4">
        <f>126.2242 * CHOOSE(CONTROL!$C$9, $C$13, 100%, $E$13) + CHOOSE(CONTROL!$C$28, 0.0003, 0)</f>
        <v>126.22449999999999</v>
      </c>
      <c r="C953" s="4">
        <f>125.9117 * CHOOSE(CONTROL!$C$9, $C$13, 100%, $E$13) + CHOOSE(CONTROL!$C$28, 0.0003, 0)</f>
        <v>125.91199999999999</v>
      </c>
      <c r="D953" s="4">
        <f>101.6526 * CHOOSE(CONTROL!$C$9, $C$13, 100%, $E$13) + CHOOSE(CONTROL!$C$28, 0, 0)</f>
        <v>101.65260000000001</v>
      </c>
      <c r="E953" s="4">
        <f>674.085512712472 * CHOOSE(CONTROL!$C$9, $C$13, 100%, $E$13) + CHOOSE(CONTROL!$C$28, 0, 0)</f>
        <v>674.085512712472</v>
      </c>
    </row>
    <row r="954" spans="1:5" ht="15">
      <c r="A954" s="13">
        <v>70918</v>
      </c>
      <c r="B954" s="4">
        <f>129.1767 * CHOOSE(CONTROL!$C$9, $C$13, 100%, $E$13) + CHOOSE(CONTROL!$C$28, 0.0003, 0)</f>
        <v>129.17700000000002</v>
      </c>
      <c r="C954" s="4">
        <f>128.8642 * CHOOSE(CONTROL!$C$9, $C$13, 100%, $E$13) + CHOOSE(CONTROL!$C$28, 0.0003, 0)</f>
        <v>128.86450000000002</v>
      </c>
      <c r="D954" s="4">
        <f>105.1739 * CHOOSE(CONTROL!$C$9, $C$13, 100%, $E$13) + CHOOSE(CONTROL!$C$28, 0, 0)</f>
        <v>105.1739</v>
      </c>
      <c r="E954" s="4">
        <f>690.090959294227 * CHOOSE(CONTROL!$C$9, $C$13, 100%, $E$13) + CHOOSE(CONTROL!$C$28, 0, 0)</f>
        <v>690.09095929422699</v>
      </c>
    </row>
    <row r="955" spans="1:5" ht="15">
      <c r="A955" s="13">
        <v>70949</v>
      </c>
      <c r="B955" s="4">
        <f>136.9302 * CHOOSE(CONTROL!$C$9, $C$13, 100%, $E$13) + CHOOSE(CONTROL!$C$28, 0.0003, 0)</f>
        <v>136.93050000000002</v>
      </c>
      <c r="C955" s="4">
        <f>136.6177 * CHOOSE(CONTROL!$C$9, $C$13, 100%, $E$13) + CHOOSE(CONTROL!$C$28, 0.0003, 0)</f>
        <v>136.61800000000002</v>
      </c>
      <c r="D955" s="4">
        <f>110.6862 * CHOOSE(CONTROL!$C$9, $C$13, 100%, $E$13) + CHOOSE(CONTROL!$C$28, 0, 0)</f>
        <v>110.6862</v>
      </c>
      <c r="E955" s="4">
        <f>732.122112599004 * CHOOSE(CONTROL!$C$9, $C$13, 100%, $E$13) + CHOOSE(CONTROL!$C$28, 0, 0)</f>
        <v>732.12211259900403</v>
      </c>
    </row>
    <row r="956" spans="1:5" ht="15">
      <c r="A956" s="13">
        <v>70979</v>
      </c>
      <c r="B956" s="4">
        <f>142.4392 * CHOOSE(CONTROL!$C$9, $C$13, 100%, $E$13) + CHOOSE(CONTROL!$C$28, 0.0003, 0)</f>
        <v>142.43950000000001</v>
      </c>
      <c r="C956" s="4">
        <f>142.1267 * CHOOSE(CONTROL!$C$9, $C$13, 100%, $E$13) + CHOOSE(CONTROL!$C$28, 0.0003, 0)</f>
        <v>142.12700000000001</v>
      </c>
      <c r="D956" s="4">
        <f>113.8614 * CHOOSE(CONTROL!$C$9, $C$13, 100%, $E$13) + CHOOSE(CONTROL!$C$28, 0, 0)</f>
        <v>113.8614</v>
      </c>
      <c r="E956" s="4">
        <f>761.985807160814 * CHOOSE(CONTROL!$C$9, $C$13, 100%, $E$13) + CHOOSE(CONTROL!$C$28, 0, 0)</f>
        <v>761.98580716081403</v>
      </c>
    </row>
    <row r="957" spans="1:5" ht="15">
      <c r="A957" s="13">
        <v>71010</v>
      </c>
      <c r="B957" s="4">
        <f>145.8051 * CHOOSE(CONTROL!$C$9, $C$13, 100%, $E$13) + CHOOSE(CONTROL!$C$28, 0.0294, 0)</f>
        <v>145.83450000000002</v>
      </c>
      <c r="C957" s="4">
        <f>145.4926 * CHOOSE(CONTROL!$C$9, $C$13, 100%, $E$13) + CHOOSE(CONTROL!$C$28, 0.0294, 0)</f>
        <v>145.52200000000002</v>
      </c>
      <c r="D957" s="4">
        <f>112.6067 * CHOOSE(CONTROL!$C$9, $C$13, 100%, $E$13) + CHOOSE(CONTROL!$C$28, 0, 0)</f>
        <v>112.6067</v>
      </c>
      <c r="E957" s="4">
        <f>780.231808805212 * CHOOSE(CONTROL!$C$9, $C$13, 100%, $E$13) + CHOOSE(CONTROL!$C$28, 0, 0)</f>
        <v>780.23180880521204</v>
      </c>
    </row>
    <row r="958" spans="1:5" ht="15">
      <c r="A958" s="13">
        <v>71040</v>
      </c>
      <c r="B958" s="4">
        <f>146.2605 * CHOOSE(CONTROL!$C$9, $C$13, 100%, $E$13) + CHOOSE(CONTROL!$C$28, 0.0294, 0)</f>
        <v>146.28990000000002</v>
      </c>
      <c r="C958" s="4">
        <f>145.948 * CHOOSE(CONTROL!$C$9, $C$13, 100%, $E$13) + CHOOSE(CONTROL!$C$28, 0.0294, 0)</f>
        <v>145.97740000000002</v>
      </c>
      <c r="D958" s="4">
        <f>113.6286 * CHOOSE(CONTROL!$C$9, $C$13, 100%, $E$13) + CHOOSE(CONTROL!$C$28, 0, 0)</f>
        <v>113.62860000000001</v>
      </c>
      <c r="E958" s="4">
        <f>782.700568550162 * CHOOSE(CONTROL!$C$9, $C$13, 100%, $E$13) + CHOOSE(CONTROL!$C$28, 0, 0)</f>
        <v>782.70056855016196</v>
      </c>
    </row>
    <row r="959" spans="1:5" ht="15">
      <c r="A959" s="13">
        <v>71071</v>
      </c>
      <c r="B959" s="4">
        <f>146.2146 * CHOOSE(CONTROL!$C$9, $C$13, 100%, $E$13) + CHOOSE(CONTROL!$C$28, 0.0294, 0)</f>
        <v>146.244</v>
      </c>
      <c r="C959" s="4">
        <f>145.9021 * CHOOSE(CONTROL!$C$9, $C$13, 100%, $E$13) + CHOOSE(CONTROL!$C$28, 0.0294, 0)</f>
        <v>145.9315</v>
      </c>
      <c r="D959" s="4">
        <f>115.4724 * CHOOSE(CONTROL!$C$9, $C$13, 100%, $E$13) + CHOOSE(CONTROL!$C$28, 0, 0)</f>
        <v>115.47239999999999</v>
      </c>
      <c r="E959" s="4">
        <f>782.451617987646 * CHOOSE(CONTROL!$C$9, $C$13, 100%, $E$13) + CHOOSE(CONTROL!$C$28, 0, 0)</f>
        <v>782.45161798764605</v>
      </c>
    </row>
    <row r="960" spans="1:5" ht="15">
      <c r="A960" s="13">
        <v>71102</v>
      </c>
      <c r="B960" s="4">
        <f>149.6703 * CHOOSE(CONTROL!$C$9, $C$13, 100%, $E$13) + CHOOSE(CONTROL!$C$28, 0.0294, 0)</f>
        <v>149.69970000000001</v>
      </c>
      <c r="C960" s="4">
        <f>149.3578 * CHOOSE(CONTROL!$C$9, $C$13, 100%, $E$13) + CHOOSE(CONTROL!$C$28, 0.0294, 0)</f>
        <v>149.38720000000001</v>
      </c>
      <c r="D960" s="4">
        <f>114.2547 * CHOOSE(CONTROL!$C$9, $C$13, 100%, $E$13) + CHOOSE(CONTROL!$C$28, 0, 0)</f>
        <v>114.2547</v>
      </c>
      <c r="E960" s="4">
        <f>801.185147816972 * CHOOSE(CONTROL!$C$9, $C$13, 100%, $E$13) + CHOOSE(CONTROL!$C$28, 0, 0)</f>
        <v>801.18514781697195</v>
      </c>
    </row>
    <row r="961" spans="1:5" ht="15">
      <c r="A961" s="13">
        <v>71132</v>
      </c>
      <c r="B961" s="4">
        <f>143.7806 * CHOOSE(CONTROL!$C$9, $C$13, 100%, $E$13) + CHOOSE(CONTROL!$C$28, 0.0294, 0)</f>
        <v>143.81</v>
      </c>
      <c r="C961" s="4">
        <f>143.4681 * CHOOSE(CONTROL!$C$9, $C$13, 100%, $E$13) + CHOOSE(CONTROL!$C$28, 0.0294, 0)</f>
        <v>143.4975</v>
      </c>
      <c r="D961" s="4">
        <f>113.6794 * CHOOSE(CONTROL!$C$9, $C$13, 100%, $E$13) + CHOOSE(CONTROL!$C$28, 0, 0)</f>
        <v>113.6794</v>
      </c>
      <c r="E961" s="4">
        <f>769.257238174301 * CHOOSE(CONTROL!$C$9, $C$13, 100%, $E$13) + CHOOSE(CONTROL!$C$28, 0, 0)</f>
        <v>769.25723817430105</v>
      </c>
    </row>
    <row r="962" spans="1:5" ht="15">
      <c r="A962" s="13">
        <v>71163</v>
      </c>
      <c r="B962" s="4">
        <f>139.0657 * CHOOSE(CONTROL!$C$9, $C$13, 100%, $E$13) + CHOOSE(CONTROL!$C$28, 0.0003, 0)</f>
        <v>139.066</v>
      </c>
      <c r="C962" s="4">
        <f>138.7532 * CHOOSE(CONTROL!$C$9, $C$13, 100%, $E$13) + CHOOSE(CONTROL!$C$28, 0.0003, 0)</f>
        <v>138.7535</v>
      </c>
      <c r="D962" s="4">
        <f>112.139 * CHOOSE(CONTROL!$C$9, $C$13, 100%, $E$13) + CHOOSE(CONTROL!$C$28, 0, 0)</f>
        <v>112.139</v>
      </c>
      <c r="E962" s="4">
        <f>743.698313755996 * CHOOSE(CONTROL!$C$9, $C$13, 100%, $E$13) + CHOOSE(CONTROL!$C$28, 0, 0)</f>
        <v>743.69831375599597</v>
      </c>
    </row>
    <row r="963" spans="1:5" ht="15">
      <c r="A963" s="13">
        <v>71193</v>
      </c>
      <c r="B963" s="4">
        <f>136.029 * CHOOSE(CONTROL!$C$9, $C$13, 100%, $E$13) + CHOOSE(CONTROL!$C$28, 0.0003, 0)</f>
        <v>136.02930000000001</v>
      </c>
      <c r="C963" s="4">
        <f>135.7165 * CHOOSE(CONTROL!$C$9, $C$13, 100%, $E$13) + CHOOSE(CONTROL!$C$28, 0.0003, 0)</f>
        <v>135.71680000000001</v>
      </c>
      <c r="D963" s="4">
        <f>111.6094 * CHOOSE(CONTROL!$C$9, $C$13, 100%, $E$13) + CHOOSE(CONTROL!$C$28, 0, 0)</f>
        <v>111.60939999999999</v>
      </c>
      <c r="E963" s="4">
        <f>727.236457809628 * CHOOSE(CONTROL!$C$9, $C$13, 100%, $E$13) + CHOOSE(CONTROL!$C$28, 0, 0)</f>
        <v>727.23645780962795</v>
      </c>
    </row>
    <row r="964" spans="1:5" ht="15">
      <c r="A964" s="13">
        <v>71224</v>
      </c>
      <c r="B964" s="4">
        <f>133.9279 * CHOOSE(CONTROL!$C$9, $C$13, 100%, $E$13) + CHOOSE(CONTROL!$C$28, 0.0003, 0)</f>
        <v>133.9282</v>
      </c>
      <c r="C964" s="4">
        <f>133.6154 * CHOOSE(CONTROL!$C$9, $C$13, 100%, $E$13) + CHOOSE(CONTROL!$C$28, 0.0003, 0)</f>
        <v>133.6157</v>
      </c>
      <c r="D964" s="4">
        <f>107.7104 * CHOOSE(CONTROL!$C$9, $C$13, 100%, $E$13) + CHOOSE(CONTROL!$C$28, 0, 0)</f>
        <v>107.71040000000001</v>
      </c>
      <c r="E964" s="4">
        <f>715.846969574523 * CHOOSE(CONTROL!$C$9, $C$13, 100%, $E$13) + CHOOSE(CONTROL!$C$28, 0, 0)</f>
        <v>715.84696957452297</v>
      </c>
    </row>
    <row r="965" spans="1:5" ht="15">
      <c r="A965" s="13">
        <v>71255</v>
      </c>
      <c r="B965" s="4">
        <f>130.5142 * CHOOSE(CONTROL!$C$9, $C$13, 100%, $E$13) + CHOOSE(CONTROL!$C$28, 0.0003, 0)</f>
        <v>130.5145</v>
      </c>
      <c r="C965" s="4">
        <f>130.2017 * CHOOSE(CONTROL!$C$9, $C$13, 100%, $E$13) + CHOOSE(CONTROL!$C$28, 0.0003, 0)</f>
        <v>130.202</v>
      </c>
      <c r="D965" s="4">
        <f>104.1269 * CHOOSE(CONTROL!$C$9, $C$13, 100%, $E$13) + CHOOSE(CONTROL!$C$28, 0, 0)</f>
        <v>104.12690000000001</v>
      </c>
      <c r="E965" s="4">
        <f>695.319206362915 * CHOOSE(CONTROL!$C$9, $C$13, 100%, $E$13) + CHOOSE(CONTROL!$C$28, 0, 0)</f>
        <v>695.319206362915</v>
      </c>
    </row>
    <row r="966" spans="1:5" ht="15">
      <c r="A966" s="13">
        <v>71283</v>
      </c>
      <c r="B966" s="4">
        <f>133.5686 * CHOOSE(CONTROL!$C$9, $C$13, 100%, $E$13) + CHOOSE(CONTROL!$C$28, 0.0003, 0)</f>
        <v>133.56890000000001</v>
      </c>
      <c r="C966" s="4">
        <f>133.2561 * CHOOSE(CONTROL!$C$9, $C$13, 100%, $E$13) + CHOOSE(CONTROL!$C$28, 0.0003, 0)</f>
        <v>133.25640000000001</v>
      </c>
      <c r="D966" s="4">
        <f>107.7355 * CHOOSE(CONTROL!$C$9, $C$13, 100%, $E$13) + CHOOSE(CONTROL!$C$28, 0, 0)</f>
        <v>107.7355</v>
      </c>
      <c r="E966" s="4">
        <f>711.828824511995 * CHOOSE(CONTROL!$C$9, $C$13, 100%, $E$13) + CHOOSE(CONTROL!$C$28, 0, 0)</f>
        <v>711.82882451199498</v>
      </c>
    </row>
    <row r="967" spans="1:5" ht="15">
      <c r="A967" s="13">
        <v>71314</v>
      </c>
      <c r="B967" s="4">
        <f>141.5896 * CHOOSE(CONTROL!$C$9, $C$13, 100%, $E$13) + CHOOSE(CONTROL!$C$28, 0.0003, 0)</f>
        <v>141.5899</v>
      </c>
      <c r="C967" s="4">
        <f>141.2771 * CHOOSE(CONTROL!$C$9, $C$13, 100%, $E$13) + CHOOSE(CONTROL!$C$28, 0.0003, 0)</f>
        <v>141.2774</v>
      </c>
      <c r="D967" s="4">
        <f>113.3845 * CHOOSE(CONTROL!$C$9, $C$13, 100%, $E$13) + CHOOSE(CONTROL!$C$28, 0, 0)</f>
        <v>113.3845</v>
      </c>
      <c r="E967" s="4">
        <f>755.183959145873 * CHOOSE(CONTROL!$C$9, $C$13, 100%, $E$13) + CHOOSE(CONTROL!$C$28, 0, 0)</f>
        <v>755.18395914587302</v>
      </c>
    </row>
    <row r="968" spans="1:5" ht="15">
      <c r="A968" s="13">
        <v>71344</v>
      </c>
      <c r="B968" s="4">
        <f>147.2887 * CHOOSE(CONTROL!$C$9, $C$13, 100%, $E$13) + CHOOSE(CONTROL!$C$28, 0.0003, 0)</f>
        <v>147.28900000000002</v>
      </c>
      <c r="C968" s="4">
        <f>146.9762 * CHOOSE(CONTROL!$C$9, $C$13, 100%, $E$13) + CHOOSE(CONTROL!$C$28, 0.0003, 0)</f>
        <v>146.97650000000002</v>
      </c>
      <c r="D968" s="4">
        <f>116.6385 * CHOOSE(CONTROL!$C$9, $C$13, 100%, $E$13) + CHOOSE(CONTROL!$C$28, 0, 0)</f>
        <v>116.63849999999999</v>
      </c>
      <c r="E968" s="4">
        <f>785.98836008638 * CHOOSE(CONTROL!$C$9, $C$13, 100%, $E$13) + CHOOSE(CONTROL!$C$28, 0, 0)</f>
        <v>785.98836008638</v>
      </c>
    </row>
    <row r="969" spans="1:5" ht="15">
      <c r="A969" s="13">
        <v>71375</v>
      </c>
      <c r="B969" s="4">
        <f>150.7707 * CHOOSE(CONTROL!$C$9, $C$13, 100%, $E$13) + CHOOSE(CONTROL!$C$28, 0.0294, 0)</f>
        <v>150.80010000000001</v>
      </c>
      <c r="C969" s="4">
        <f>150.4582 * CHOOSE(CONTROL!$C$9, $C$13, 100%, $E$13) + CHOOSE(CONTROL!$C$28, 0.0294, 0)</f>
        <v>150.48760000000001</v>
      </c>
      <c r="D969" s="4">
        <f>115.3527 * CHOOSE(CONTROL!$C$9, $C$13, 100%, $E$13) + CHOOSE(CONTROL!$C$28, 0, 0)</f>
        <v>115.3527</v>
      </c>
      <c r="E969" s="4">
        <f>804.809110782576 * CHOOSE(CONTROL!$C$9, $C$13, 100%, $E$13) + CHOOSE(CONTROL!$C$28, 0, 0)</f>
        <v>804.809110782576</v>
      </c>
    </row>
    <row r="970" spans="1:5" ht="15">
      <c r="A970" s="13">
        <v>71405</v>
      </c>
      <c r="B970" s="4">
        <f>151.2418 * CHOOSE(CONTROL!$C$9, $C$13, 100%, $E$13) + CHOOSE(CONTROL!$C$28, 0.0294, 0)</f>
        <v>151.27120000000002</v>
      </c>
      <c r="C970" s="4">
        <f>150.9293 * CHOOSE(CONTROL!$C$9, $C$13, 100%, $E$13) + CHOOSE(CONTROL!$C$28, 0.0294, 0)</f>
        <v>150.95870000000002</v>
      </c>
      <c r="D970" s="4">
        <f>116.3999 * CHOOSE(CONTROL!$C$9, $C$13, 100%, $E$13) + CHOOSE(CONTROL!$C$28, 0, 0)</f>
        <v>116.3999</v>
      </c>
      <c r="E970" s="4">
        <f>807.355636459492 * CHOOSE(CONTROL!$C$9, $C$13, 100%, $E$13) + CHOOSE(CONTROL!$C$28, 0, 0)</f>
        <v>807.35563645949196</v>
      </c>
    </row>
    <row r="971" spans="1:5" ht="15">
      <c r="A971" s="13">
        <v>71436</v>
      </c>
      <c r="B971" s="4">
        <f>151.1943 * CHOOSE(CONTROL!$C$9, $C$13, 100%, $E$13) + CHOOSE(CONTROL!$C$28, 0.0294, 0)</f>
        <v>151.22370000000001</v>
      </c>
      <c r="C971" s="4">
        <f>150.8818 * CHOOSE(CONTROL!$C$9, $C$13, 100%, $E$13) + CHOOSE(CONTROL!$C$28, 0.0294, 0)</f>
        <v>150.91120000000001</v>
      </c>
      <c r="D971" s="4">
        <f>118.2894 * CHOOSE(CONTROL!$C$9, $C$13, 100%, $E$13) + CHOOSE(CONTROL!$C$28, 0, 0)</f>
        <v>118.2894</v>
      </c>
      <c r="E971" s="4">
        <f>807.098843954257 * CHOOSE(CONTROL!$C$9, $C$13, 100%, $E$13) + CHOOSE(CONTROL!$C$28, 0, 0)</f>
        <v>807.09884395425695</v>
      </c>
    </row>
    <row r="972" spans="1:5" ht="15">
      <c r="A972" s="13">
        <v>71467</v>
      </c>
      <c r="B972" s="4">
        <f>154.7693 * CHOOSE(CONTROL!$C$9, $C$13, 100%, $E$13) + CHOOSE(CONTROL!$C$28, 0.0294, 0)</f>
        <v>154.7987</v>
      </c>
      <c r="C972" s="4">
        <f>154.4568 * CHOOSE(CONTROL!$C$9, $C$13, 100%, $E$13) + CHOOSE(CONTROL!$C$28, 0.0294, 0)</f>
        <v>154.4862</v>
      </c>
      <c r="D972" s="4">
        <f>117.0416 * CHOOSE(CONTROL!$C$9, $C$13, 100%, $E$13) + CHOOSE(CONTROL!$C$28, 0, 0)</f>
        <v>117.0416</v>
      </c>
      <c r="E972" s="4">
        <f>826.422479973206 * CHOOSE(CONTROL!$C$9, $C$13, 100%, $E$13) + CHOOSE(CONTROL!$C$28, 0, 0)</f>
        <v>826.42247997320601</v>
      </c>
    </row>
    <row r="973" spans="1:5" ht="15">
      <c r="A973" s="13">
        <v>71497</v>
      </c>
      <c r="B973" s="4">
        <f>148.6763 * CHOOSE(CONTROL!$C$9, $C$13, 100%, $E$13) + CHOOSE(CONTROL!$C$28, 0.0294, 0)</f>
        <v>148.70570000000001</v>
      </c>
      <c r="C973" s="4">
        <f>148.3638 * CHOOSE(CONTROL!$C$9, $C$13, 100%, $E$13) + CHOOSE(CONTROL!$C$28, 0.0294, 0)</f>
        <v>148.39320000000001</v>
      </c>
      <c r="D973" s="4">
        <f>116.452 * CHOOSE(CONTROL!$C$9, $C$13, 100%, $E$13) + CHOOSE(CONTROL!$C$28, 0, 0)</f>
        <v>116.452</v>
      </c>
      <c r="E973" s="4">
        <f>793.488841176791 * CHOOSE(CONTROL!$C$9, $C$13, 100%, $E$13) + CHOOSE(CONTROL!$C$28, 0, 0)</f>
        <v>793.48884117679097</v>
      </c>
    </row>
    <row r="974" spans="1:5" ht="15">
      <c r="A974" s="13">
        <v>71528</v>
      </c>
      <c r="B974" s="4">
        <f>143.7988 * CHOOSE(CONTROL!$C$9, $C$13, 100%, $E$13) + CHOOSE(CONTROL!$C$28, 0.0003, 0)</f>
        <v>143.79910000000001</v>
      </c>
      <c r="C974" s="4">
        <f>143.4863 * CHOOSE(CONTROL!$C$9, $C$13, 100%, $E$13) + CHOOSE(CONTROL!$C$28, 0.0003, 0)</f>
        <v>143.48660000000001</v>
      </c>
      <c r="D974" s="4">
        <f>114.8733 * CHOOSE(CONTROL!$C$9, $C$13, 100%, $E$13) + CHOOSE(CONTROL!$C$28, 0, 0)</f>
        <v>114.8733</v>
      </c>
      <c r="E974" s="4">
        <f>767.12481063931 * CHOOSE(CONTROL!$C$9, $C$13, 100%, $E$13) + CHOOSE(CONTROL!$C$28, 0, 0)</f>
        <v>767.12481063931</v>
      </c>
    </row>
    <row r="975" spans="1:5" ht="15">
      <c r="A975" s="13">
        <v>71558</v>
      </c>
      <c r="B975" s="4">
        <f>140.6573 * CHOOSE(CONTROL!$C$9, $C$13, 100%, $E$13) + CHOOSE(CONTROL!$C$28, 0.0003, 0)</f>
        <v>140.6576</v>
      </c>
      <c r="C975" s="4">
        <f>140.3448 * CHOOSE(CONTROL!$C$9, $C$13, 100%, $E$13) + CHOOSE(CONTROL!$C$28, 0.0003, 0)</f>
        <v>140.3451</v>
      </c>
      <c r="D975" s="4">
        <f>114.3306 * CHOOSE(CONTROL!$C$9, $C$13, 100%, $E$13) + CHOOSE(CONTROL!$C$28, 0, 0)</f>
        <v>114.3306</v>
      </c>
      <c r="E975" s="4">
        <f>750.144406230632 * CHOOSE(CONTROL!$C$9, $C$13, 100%, $E$13) + CHOOSE(CONTROL!$C$28, 0, 0)</f>
        <v>750.14440623063194</v>
      </c>
    </row>
    <row r="976" spans="1:5" ht="15">
      <c r="A976" s="13">
        <v>71589</v>
      </c>
      <c r="B976" s="4">
        <f>138.4838 * CHOOSE(CONTROL!$C$9, $C$13, 100%, $E$13) + CHOOSE(CONTROL!$C$28, 0.0003, 0)</f>
        <v>138.48410000000001</v>
      </c>
      <c r="C976" s="4">
        <f>138.1713 * CHOOSE(CONTROL!$C$9, $C$13, 100%, $E$13) + CHOOSE(CONTROL!$C$28, 0.0003, 0)</f>
        <v>138.17160000000001</v>
      </c>
      <c r="D976" s="4">
        <f>110.3349 * CHOOSE(CONTROL!$C$9, $C$13, 100%, $E$13) + CHOOSE(CONTROL!$C$28, 0, 0)</f>
        <v>110.3349</v>
      </c>
      <c r="E976" s="4">
        <f>738.396149116121 * CHOOSE(CONTROL!$C$9, $C$13, 100%, $E$13) + CHOOSE(CONTROL!$C$28, 0, 0)</f>
        <v>738.39614911612102</v>
      </c>
    </row>
    <row r="977" spans="1:5" ht="15">
      <c r="A977" s="13">
        <v>71620</v>
      </c>
      <c r="B977" s="4">
        <f>134.9523 * CHOOSE(CONTROL!$C$9, $C$13, 100%, $E$13) + CHOOSE(CONTROL!$C$28, 0.0003, 0)</f>
        <v>134.95260000000002</v>
      </c>
      <c r="C977" s="4">
        <f>134.6398 * CHOOSE(CONTROL!$C$9, $C$13, 100%, $E$13) + CHOOSE(CONTROL!$C$28, 0.0003, 0)</f>
        <v>134.64010000000002</v>
      </c>
      <c r="D977" s="4">
        <f>106.6626 * CHOOSE(CONTROL!$C$9, $C$13, 100%, $E$13) + CHOOSE(CONTROL!$C$28, 0, 0)</f>
        <v>106.6626</v>
      </c>
      <c r="E977" s="4">
        <f>717.221761363347 * CHOOSE(CONTROL!$C$9, $C$13, 100%, $E$13) + CHOOSE(CONTROL!$C$28, 0, 0)</f>
        <v>717.22176136334701</v>
      </c>
    </row>
    <row r="978" spans="1:5" ht="15">
      <c r="A978" s="13">
        <v>71649</v>
      </c>
      <c r="B978" s="4">
        <f>138.112 * CHOOSE(CONTROL!$C$9, $C$13, 100%, $E$13) + CHOOSE(CONTROL!$C$28, 0.0003, 0)</f>
        <v>138.1123</v>
      </c>
      <c r="C978" s="4">
        <f>137.7995 * CHOOSE(CONTROL!$C$9, $C$13, 100%, $E$13) + CHOOSE(CONTROL!$C$28, 0.0003, 0)</f>
        <v>137.7998</v>
      </c>
      <c r="D978" s="4">
        <f>110.3607 * CHOOSE(CONTROL!$C$9, $C$13, 100%, $E$13) + CHOOSE(CONTROL!$C$28, 0, 0)</f>
        <v>110.36069999999999</v>
      </c>
      <c r="E978" s="4">
        <f>734.251432484123 * CHOOSE(CONTROL!$C$9, $C$13, 100%, $E$13) + CHOOSE(CONTROL!$C$28, 0, 0)</f>
        <v>734.25143248412303</v>
      </c>
    </row>
    <row r="979" spans="1:5" ht="15">
      <c r="A979" s="13">
        <v>71680</v>
      </c>
      <c r="B979" s="4">
        <f>146.4098 * CHOOSE(CONTROL!$C$9, $C$13, 100%, $E$13) + CHOOSE(CONTROL!$C$28, 0.0003, 0)</f>
        <v>146.4101</v>
      </c>
      <c r="C979" s="4">
        <f>146.0973 * CHOOSE(CONTROL!$C$9, $C$13, 100%, $E$13) + CHOOSE(CONTROL!$C$28, 0.0003, 0)</f>
        <v>146.0976</v>
      </c>
      <c r="D979" s="4">
        <f>116.1497 * CHOOSE(CONTROL!$C$9, $C$13, 100%, $E$13) + CHOOSE(CONTROL!$C$28, 0, 0)</f>
        <v>116.1497</v>
      </c>
      <c r="E979" s="4">
        <f>778.972253858968 * CHOOSE(CONTROL!$C$9, $C$13, 100%, $E$13) + CHOOSE(CONTROL!$C$28, 0, 0)</f>
        <v>778.97225385896797</v>
      </c>
    </row>
    <row r="980" spans="1:5" ht="15">
      <c r="A980" s="13">
        <v>71710</v>
      </c>
      <c r="B980" s="4">
        <f>152.3054 * CHOOSE(CONTROL!$C$9, $C$13, 100%, $E$13) + CHOOSE(CONTROL!$C$28, 0.0003, 0)</f>
        <v>152.3057</v>
      </c>
      <c r="C980" s="4">
        <f>151.9929 * CHOOSE(CONTROL!$C$9, $C$13, 100%, $E$13) + CHOOSE(CONTROL!$C$28, 0.0003, 0)</f>
        <v>151.9932</v>
      </c>
      <c r="D980" s="4">
        <f>119.4844 * CHOOSE(CONTROL!$C$9, $C$13, 100%, $E$13) + CHOOSE(CONTROL!$C$28, 0, 0)</f>
        <v>119.48439999999999</v>
      </c>
      <c r="E980" s="4">
        <f>810.7469934291 * CHOOSE(CONTROL!$C$9, $C$13, 100%, $E$13) + CHOOSE(CONTROL!$C$28, 0, 0)</f>
        <v>810.74699342910003</v>
      </c>
    </row>
    <row r="981" spans="1:5" ht="15">
      <c r="A981" s="13">
        <v>71741</v>
      </c>
      <c r="B981" s="4">
        <f>155.9076 * CHOOSE(CONTROL!$C$9, $C$13, 100%, $E$13) + CHOOSE(CONTROL!$C$28, 0.0294, 0)</f>
        <v>155.93700000000001</v>
      </c>
      <c r="C981" s="4">
        <f>155.5951 * CHOOSE(CONTROL!$C$9, $C$13, 100%, $E$13) + CHOOSE(CONTROL!$C$28, 0.0294, 0)</f>
        <v>155.62450000000001</v>
      </c>
      <c r="D981" s="4">
        <f>118.1667 * CHOOSE(CONTROL!$C$9, $C$13, 100%, $E$13) + CHOOSE(CONTROL!$C$28, 0, 0)</f>
        <v>118.16670000000001</v>
      </c>
      <c r="E981" s="4">
        <f>830.160597772228 * CHOOSE(CONTROL!$C$9, $C$13, 100%, $E$13) + CHOOSE(CONTROL!$C$28, 0, 0)</f>
        <v>830.16059777222802</v>
      </c>
    </row>
    <row r="982" spans="1:5" ht="15">
      <c r="A982" s="13">
        <v>71771</v>
      </c>
      <c r="B982" s="4">
        <f>156.3949 * CHOOSE(CONTROL!$C$9, $C$13, 100%, $E$13) + CHOOSE(CONTROL!$C$28, 0.0294, 0)</f>
        <v>156.42430000000002</v>
      </c>
      <c r="C982" s="4">
        <f>156.0824 * CHOOSE(CONTROL!$C$9, $C$13, 100%, $E$13) + CHOOSE(CONTROL!$C$28, 0.0294, 0)</f>
        <v>156.11180000000002</v>
      </c>
      <c r="D982" s="4">
        <f>119.2399 * CHOOSE(CONTROL!$C$9, $C$13, 100%, $E$13) + CHOOSE(CONTROL!$C$28, 0, 0)</f>
        <v>119.23990000000001</v>
      </c>
      <c r="E982" s="4">
        <f>832.787339007966 * CHOOSE(CONTROL!$C$9, $C$13, 100%, $E$13) + CHOOSE(CONTROL!$C$28, 0, 0)</f>
        <v>832.78733900796601</v>
      </c>
    </row>
    <row r="983" spans="1:5" ht="15">
      <c r="A983" s="13">
        <v>71802</v>
      </c>
      <c r="B983" s="4">
        <f>156.3458 * CHOOSE(CONTROL!$C$9, $C$13, 100%, $E$13) + CHOOSE(CONTROL!$C$28, 0.0294, 0)</f>
        <v>156.37520000000001</v>
      </c>
      <c r="C983" s="4">
        <f>156.0333 * CHOOSE(CONTROL!$C$9, $C$13, 100%, $E$13) + CHOOSE(CONTROL!$C$28, 0.0294, 0)</f>
        <v>156.06270000000001</v>
      </c>
      <c r="D983" s="4">
        <f>121.1763 * CHOOSE(CONTROL!$C$9, $C$13, 100%, $E$13) + CHOOSE(CONTROL!$C$28, 0, 0)</f>
        <v>121.1763</v>
      </c>
      <c r="E983" s="4">
        <f>832.522457538816 * CHOOSE(CONTROL!$C$9, $C$13, 100%, $E$13) + CHOOSE(CONTROL!$C$28, 0, 0)</f>
        <v>832.52245753881596</v>
      </c>
    </row>
    <row r="984" spans="1:5" ht="15">
      <c r="A984" s="13">
        <v>71833</v>
      </c>
      <c r="B984" s="4">
        <f>160.0441 * CHOOSE(CONTROL!$C$9, $C$13, 100%, $E$13) + CHOOSE(CONTROL!$C$28, 0.0294, 0)</f>
        <v>160.0735</v>
      </c>
      <c r="C984" s="4">
        <f>159.7316 * CHOOSE(CONTROL!$C$9, $C$13, 100%, $E$13) + CHOOSE(CONTROL!$C$28, 0.0294, 0)</f>
        <v>159.761</v>
      </c>
      <c r="D984" s="4">
        <f>119.8975 * CHOOSE(CONTROL!$C$9, $C$13, 100%, $E$13) + CHOOSE(CONTROL!$C$28, 0, 0)</f>
        <v>119.89749999999999</v>
      </c>
      <c r="E984" s="4">
        <f>852.454788092362 * CHOOSE(CONTROL!$C$9, $C$13, 100%, $E$13) + CHOOSE(CONTROL!$C$28, 0, 0)</f>
        <v>852.45478809236204</v>
      </c>
    </row>
    <row r="985" spans="1:5" ht="15">
      <c r="A985" s="13">
        <v>71863</v>
      </c>
      <c r="B985" s="4">
        <f>153.741 * CHOOSE(CONTROL!$C$9, $C$13, 100%, $E$13) + CHOOSE(CONTROL!$C$28, 0.0294, 0)</f>
        <v>153.77040000000002</v>
      </c>
      <c r="C985" s="4">
        <f>153.4285 * CHOOSE(CONTROL!$C$9, $C$13, 100%, $E$13) + CHOOSE(CONTROL!$C$28, 0.0294, 0)</f>
        <v>153.45790000000002</v>
      </c>
      <c r="D985" s="4">
        <f>119.2933 * CHOOSE(CONTROL!$C$9, $C$13, 100%, $E$13) + CHOOSE(CONTROL!$C$28, 0, 0)</f>
        <v>119.2933</v>
      </c>
      <c r="E985" s="4">
        <f>818.48373967386 * CHOOSE(CONTROL!$C$9, $C$13, 100%, $E$13) + CHOOSE(CONTROL!$C$28, 0, 0)</f>
        <v>818.48373967385999</v>
      </c>
    </row>
    <row r="986" spans="1:5" ht="15">
      <c r="A986" s="13">
        <v>71894</v>
      </c>
      <c r="B986" s="4">
        <f>148.6951 * CHOOSE(CONTROL!$C$9, $C$13, 100%, $E$13) + CHOOSE(CONTROL!$C$28, 0.0003, 0)</f>
        <v>148.69540000000001</v>
      </c>
      <c r="C986" s="4">
        <f>148.3826 * CHOOSE(CONTROL!$C$9, $C$13, 100%, $E$13) + CHOOSE(CONTROL!$C$28, 0.0003, 0)</f>
        <v>148.38290000000001</v>
      </c>
      <c r="D986" s="4">
        <f>117.6755 * CHOOSE(CONTROL!$C$9, $C$13, 100%, $E$13) + CHOOSE(CONTROL!$C$28, 0, 0)</f>
        <v>117.6755</v>
      </c>
      <c r="E986" s="4">
        <f>791.289242174448 * CHOOSE(CONTROL!$C$9, $C$13, 100%, $E$13) + CHOOSE(CONTROL!$C$28, 0, 0)</f>
        <v>791.28924217444796</v>
      </c>
    </row>
    <row r="987" spans="1:5" ht="15">
      <c r="A987" s="13">
        <v>71924</v>
      </c>
      <c r="B987" s="4">
        <f>145.4453 * CHOOSE(CONTROL!$C$9, $C$13, 100%, $E$13) + CHOOSE(CONTROL!$C$28, 0.0003, 0)</f>
        <v>145.44560000000001</v>
      </c>
      <c r="C987" s="4">
        <f>145.1328 * CHOOSE(CONTROL!$C$9, $C$13, 100%, $E$13) + CHOOSE(CONTROL!$C$28, 0.0003, 0)</f>
        <v>145.13310000000001</v>
      </c>
      <c r="D987" s="4">
        <f>117.1193 * CHOOSE(CONTROL!$C$9, $C$13, 100%, $E$13) + CHOOSE(CONTROL!$C$28, 0, 0)</f>
        <v>117.1193</v>
      </c>
      <c r="E987" s="4">
        <f>773.773955026896 * CHOOSE(CONTROL!$C$9, $C$13, 100%, $E$13) + CHOOSE(CONTROL!$C$28, 0, 0)</f>
        <v>773.77395502689603</v>
      </c>
    </row>
    <row r="988" spans="1:5" ht="15">
      <c r="A988" s="13">
        <v>71955</v>
      </c>
      <c r="B988" s="4">
        <f>143.1968 * CHOOSE(CONTROL!$C$9, $C$13, 100%, $E$13) + CHOOSE(CONTROL!$C$28, 0.0003, 0)</f>
        <v>143.19710000000001</v>
      </c>
      <c r="C988" s="4">
        <f>142.8843 * CHOOSE(CONTROL!$C$9, $C$13, 100%, $E$13) + CHOOSE(CONTROL!$C$28, 0.0003, 0)</f>
        <v>142.88460000000001</v>
      </c>
      <c r="D988" s="4">
        <f>113.0246 * CHOOSE(CONTROL!$C$9, $C$13, 100%, $E$13) + CHOOSE(CONTROL!$C$28, 0, 0)</f>
        <v>113.02460000000001</v>
      </c>
      <c r="E988" s="4">
        <f>761.655627813279 * CHOOSE(CONTROL!$C$9, $C$13, 100%, $E$13) + CHOOSE(CONTROL!$C$28, 0, 0)</f>
        <v>761.65562781327901</v>
      </c>
    </row>
    <row r="989" spans="1:5" ht="15">
      <c r="A989" s="13">
        <v>71986</v>
      </c>
      <c r="B989" s="4">
        <f>139.5434 * CHOOSE(CONTROL!$C$9, $C$13, 100%, $E$13) + CHOOSE(CONTROL!$C$28, 0.0003, 0)</f>
        <v>139.5437</v>
      </c>
      <c r="C989" s="4">
        <f>139.2309 * CHOOSE(CONTROL!$C$9, $C$13, 100%, $E$13) + CHOOSE(CONTROL!$C$28, 0.0003, 0)</f>
        <v>139.2312</v>
      </c>
      <c r="D989" s="4">
        <f>109.2611 * CHOOSE(CONTROL!$C$9, $C$13, 100%, $E$13) + CHOOSE(CONTROL!$C$28, 0, 0)</f>
        <v>109.2611</v>
      </c>
      <c r="E989" s="4">
        <f>739.814246846292 * CHOOSE(CONTROL!$C$9, $C$13, 100%, $E$13) + CHOOSE(CONTROL!$C$28, 0, 0)</f>
        <v>739.81424684629201</v>
      </c>
    </row>
    <row r="990" spans="1:5" ht="15">
      <c r="A990" s="13">
        <v>72014</v>
      </c>
      <c r="B990" s="4">
        <f>142.8122 * CHOOSE(CONTROL!$C$9, $C$13, 100%, $E$13) + CHOOSE(CONTROL!$C$28, 0.0003, 0)</f>
        <v>142.8125</v>
      </c>
      <c r="C990" s="4">
        <f>142.4997 * CHOOSE(CONTROL!$C$9, $C$13, 100%, $E$13) + CHOOSE(CONTROL!$C$28, 0.0003, 0)</f>
        <v>142.5</v>
      </c>
      <c r="D990" s="4">
        <f>113.0509 * CHOOSE(CONTROL!$C$9, $C$13, 100%, $E$13) + CHOOSE(CONTROL!$C$28, 0, 0)</f>
        <v>113.0509</v>
      </c>
      <c r="E990" s="4">
        <f>757.380352607373 * CHOOSE(CONTROL!$C$9, $C$13, 100%, $E$13) + CHOOSE(CONTROL!$C$28, 0, 0)</f>
        <v>757.38035260737297</v>
      </c>
    </row>
    <row r="991" spans="1:5" ht="15">
      <c r="A991" s="13">
        <v>72045</v>
      </c>
      <c r="B991" s="4">
        <f>151.3962 * CHOOSE(CONTROL!$C$9, $C$13, 100%, $E$13) + CHOOSE(CONTROL!$C$28, 0.0003, 0)</f>
        <v>151.3965</v>
      </c>
      <c r="C991" s="4">
        <f>151.0837 * CHOOSE(CONTROL!$C$9, $C$13, 100%, $E$13) + CHOOSE(CONTROL!$C$28, 0.0003, 0)</f>
        <v>151.084</v>
      </c>
      <c r="D991" s="4">
        <f>118.9836 * CHOOSE(CONTROL!$C$9, $C$13, 100%, $E$13) + CHOOSE(CONTROL!$C$28, 0, 0)</f>
        <v>118.9836</v>
      </c>
      <c r="E991" s="4">
        <f>803.509879855525 * CHOOSE(CONTROL!$C$9, $C$13, 100%, $E$13) + CHOOSE(CONTROL!$C$28, 0, 0)</f>
        <v>803.50987985552501</v>
      </c>
    </row>
    <row r="992" spans="1:5" ht="15">
      <c r="A992" s="13">
        <v>72075</v>
      </c>
      <c r="B992" s="4">
        <f>157.4953 * CHOOSE(CONTROL!$C$9, $C$13, 100%, $E$13) + CHOOSE(CONTROL!$C$28, 0.0003, 0)</f>
        <v>157.4956</v>
      </c>
      <c r="C992" s="4">
        <f>157.1828 * CHOOSE(CONTROL!$C$9, $C$13, 100%, $E$13) + CHOOSE(CONTROL!$C$28, 0.0003, 0)</f>
        <v>157.1831</v>
      </c>
      <c r="D992" s="4">
        <f>122.401 * CHOOSE(CONTROL!$C$9, $C$13, 100%, $E$13) + CHOOSE(CONTROL!$C$28, 0, 0)</f>
        <v>122.401</v>
      </c>
      <c r="E992" s="4">
        <f>836.285523722117 * CHOOSE(CONTROL!$C$9, $C$13, 100%, $E$13) + CHOOSE(CONTROL!$C$28, 0, 0)</f>
        <v>836.28552372211698</v>
      </c>
    </row>
    <row r="993" spans="1:5" ht="15">
      <c r="A993" s="13">
        <v>72106</v>
      </c>
      <c r="B993" s="4">
        <f>161.2217 * CHOOSE(CONTROL!$C$9, $C$13, 100%, $E$13) + CHOOSE(CONTROL!$C$28, 0.0294, 0)</f>
        <v>161.25110000000001</v>
      </c>
      <c r="C993" s="4">
        <f>160.9092 * CHOOSE(CONTROL!$C$9, $C$13, 100%, $E$13) + CHOOSE(CONTROL!$C$28, 0.0294, 0)</f>
        <v>160.93860000000001</v>
      </c>
      <c r="D993" s="4">
        <f>121.0506 * CHOOSE(CONTROL!$C$9, $C$13, 100%, $E$13) + CHOOSE(CONTROL!$C$28, 0, 0)</f>
        <v>121.0506</v>
      </c>
      <c r="E993" s="4">
        <f>856.310656602053 * CHOOSE(CONTROL!$C$9, $C$13, 100%, $E$13) + CHOOSE(CONTROL!$C$28, 0, 0)</f>
        <v>856.31065660205297</v>
      </c>
    </row>
    <row r="994" spans="1:5" ht="15">
      <c r="A994" s="13">
        <v>72136</v>
      </c>
      <c r="B994" s="4">
        <f>161.7259 * CHOOSE(CONTROL!$C$9, $C$13, 100%, $E$13) + CHOOSE(CONTROL!$C$28, 0.0294, 0)</f>
        <v>161.75530000000001</v>
      </c>
      <c r="C994" s="4">
        <f>161.4134 * CHOOSE(CONTROL!$C$9, $C$13, 100%, $E$13) + CHOOSE(CONTROL!$C$28, 0.0294, 0)</f>
        <v>161.44280000000001</v>
      </c>
      <c r="D994" s="4">
        <f>122.1504 * CHOOSE(CONTROL!$C$9, $C$13, 100%, $E$13) + CHOOSE(CONTROL!$C$28, 0, 0)</f>
        <v>122.1504</v>
      </c>
      <c r="E994" s="4">
        <f>859.020140186717 * CHOOSE(CONTROL!$C$9, $C$13, 100%, $E$13) + CHOOSE(CONTROL!$C$28, 0, 0)</f>
        <v>859.02014018671696</v>
      </c>
    </row>
    <row r="995" spans="1:5" ht="15">
      <c r="A995" s="13">
        <v>72167</v>
      </c>
      <c r="B995" s="4">
        <f>161.675 * CHOOSE(CONTROL!$C$9, $C$13, 100%, $E$13) + CHOOSE(CONTROL!$C$28, 0.0294, 0)</f>
        <v>161.70440000000002</v>
      </c>
      <c r="C995" s="4">
        <f>161.3625 * CHOOSE(CONTROL!$C$9, $C$13, 100%, $E$13) + CHOOSE(CONTROL!$C$28, 0.0294, 0)</f>
        <v>161.39190000000002</v>
      </c>
      <c r="D995" s="4">
        <f>124.1348 * CHOOSE(CONTROL!$C$9, $C$13, 100%, $E$13) + CHOOSE(CONTROL!$C$28, 0, 0)</f>
        <v>124.1348</v>
      </c>
      <c r="E995" s="4">
        <f>858.746914951289 * CHOOSE(CONTROL!$C$9, $C$13, 100%, $E$13) + CHOOSE(CONTROL!$C$28, 0, 0)</f>
        <v>858.746914951289</v>
      </c>
    </row>
    <row r="996" spans="1:5" ht="15">
      <c r="A996" s="13">
        <v>72198</v>
      </c>
      <c r="B996" s="4">
        <f>165.501 * CHOOSE(CONTROL!$C$9, $C$13, 100%, $E$13) + CHOOSE(CONTROL!$C$28, 0.0294, 0)</f>
        <v>165.53040000000001</v>
      </c>
      <c r="C996" s="4">
        <f>165.1885 * CHOOSE(CONTROL!$C$9, $C$13, 100%, $E$13) + CHOOSE(CONTROL!$C$28, 0.0294, 0)</f>
        <v>165.21790000000001</v>
      </c>
      <c r="D996" s="4">
        <f>122.8243 * CHOOSE(CONTROL!$C$9, $C$13, 100%, $E$13) + CHOOSE(CONTROL!$C$28, 0, 0)</f>
        <v>122.82429999999999</v>
      </c>
      <c r="E996" s="4">
        <f>879.307113917272 * CHOOSE(CONTROL!$C$9, $C$13, 100%, $E$13) + CHOOSE(CONTROL!$C$28, 0, 0)</f>
        <v>879.30711391727198</v>
      </c>
    </row>
    <row r="997" spans="1:5" ht="15">
      <c r="A997" s="13">
        <v>72228</v>
      </c>
      <c r="B997" s="4">
        <f>158.9803 * CHOOSE(CONTROL!$C$9, $C$13, 100%, $E$13) + CHOOSE(CONTROL!$C$28, 0.0294, 0)</f>
        <v>159.00970000000001</v>
      </c>
      <c r="C997" s="4">
        <f>158.6678 * CHOOSE(CONTROL!$C$9, $C$13, 100%, $E$13) + CHOOSE(CONTROL!$C$28, 0.0294, 0)</f>
        <v>158.69720000000001</v>
      </c>
      <c r="D997" s="4">
        <f>122.2051 * CHOOSE(CONTROL!$C$9, $C$13, 100%, $E$13) + CHOOSE(CONTROL!$C$28, 0, 0)</f>
        <v>122.2051</v>
      </c>
      <c r="E997" s="4">
        <f>844.265977473587 * CHOOSE(CONTROL!$C$9, $C$13, 100%, $E$13) + CHOOSE(CONTROL!$C$28, 0, 0)</f>
        <v>844.26597747358699</v>
      </c>
    </row>
    <row r="998" spans="1:5" ht="15">
      <c r="A998" s="13">
        <v>72259</v>
      </c>
      <c r="B998" s="4">
        <f>153.7604 * CHOOSE(CONTROL!$C$9, $C$13, 100%, $E$13) + CHOOSE(CONTROL!$C$28, 0.0003, 0)</f>
        <v>153.76070000000001</v>
      </c>
      <c r="C998" s="4">
        <f>153.4479 * CHOOSE(CONTROL!$C$9, $C$13, 100%, $E$13) + CHOOSE(CONTROL!$C$28, 0.0003, 0)</f>
        <v>153.44820000000001</v>
      </c>
      <c r="D998" s="4">
        <f>120.5472 * CHOOSE(CONTROL!$C$9, $C$13, 100%, $E$13) + CHOOSE(CONTROL!$C$28, 0, 0)</f>
        <v>120.5472</v>
      </c>
      <c r="E998" s="4">
        <f>816.214853302943 * CHOOSE(CONTROL!$C$9, $C$13, 100%, $E$13) + CHOOSE(CONTROL!$C$28, 0, 0)</f>
        <v>816.21485330294297</v>
      </c>
    </row>
    <row r="999" spans="1:5" ht="15">
      <c r="A999" s="13">
        <v>72289</v>
      </c>
      <c r="B999" s="4">
        <f>150.3984 * CHOOSE(CONTROL!$C$9, $C$13, 100%, $E$13) + CHOOSE(CONTROL!$C$28, 0.0003, 0)</f>
        <v>150.39870000000002</v>
      </c>
      <c r="C999" s="4">
        <f>150.0859 * CHOOSE(CONTROL!$C$9, $C$13, 100%, $E$13) + CHOOSE(CONTROL!$C$28, 0.0003, 0)</f>
        <v>150.08620000000002</v>
      </c>
      <c r="D999" s="4">
        <f>119.9772 * CHOOSE(CONTROL!$C$9, $C$13, 100%, $E$13) + CHOOSE(CONTROL!$C$28, 0, 0)</f>
        <v>119.9772</v>
      </c>
      <c r="E999" s="4">
        <f>798.147834610244 * CHOOSE(CONTROL!$C$9, $C$13, 100%, $E$13) + CHOOSE(CONTROL!$C$28, 0, 0)</f>
        <v>798.14783461024399</v>
      </c>
    </row>
    <row r="1000" spans="1:5" ht="15">
      <c r="A1000" s="13">
        <v>72320</v>
      </c>
      <c r="B1000" s="4">
        <f>148.0724 * CHOOSE(CONTROL!$C$9, $C$13, 100%, $E$13) + CHOOSE(CONTROL!$C$28, 0.0003, 0)</f>
        <v>148.0727</v>
      </c>
      <c r="C1000" s="4">
        <f>147.7599 * CHOOSE(CONTROL!$C$9, $C$13, 100%, $E$13) + CHOOSE(CONTROL!$C$28, 0.0003, 0)</f>
        <v>147.7602</v>
      </c>
      <c r="D1000" s="4">
        <f>115.7809 * CHOOSE(CONTROL!$C$9, $C$13, 100%, $E$13) + CHOOSE(CONTROL!$C$28, 0, 0)</f>
        <v>115.7809</v>
      </c>
      <c r="E1000" s="4">
        <f>785.647780089397 * CHOOSE(CONTROL!$C$9, $C$13, 100%, $E$13) + CHOOSE(CONTROL!$C$28, 0, 0)</f>
        <v>785.64778008939697</v>
      </c>
    </row>
    <row r="1001" spans="1:5" ht="15">
      <c r="A1001" s="13">
        <v>72351</v>
      </c>
      <c r="B1001" s="4">
        <f>144.293 * CHOOSE(CONTROL!$C$9, $C$13, 100%, $E$13) + CHOOSE(CONTROL!$C$28, 0.0003, 0)</f>
        <v>144.29330000000002</v>
      </c>
      <c r="C1001" s="4">
        <f>143.9805 * CHOOSE(CONTROL!$C$9, $C$13, 100%, $E$13) + CHOOSE(CONTROL!$C$28, 0.0003, 0)</f>
        <v>143.98080000000002</v>
      </c>
      <c r="D1001" s="4">
        <f>111.9241 * CHOOSE(CONTROL!$C$9, $C$13, 100%, $E$13) + CHOOSE(CONTROL!$C$28, 0, 0)</f>
        <v>111.9241</v>
      </c>
      <c r="E1001" s="4">
        <f>763.11839562195 * CHOOSE(CONTROL!$C$9, $C$13, 100%, $E$13) + CHOOSE(CONTROL!$C$28, 0, 0)</f>
        <v>763.11839562194996</v>
      </c>
    </row>
    <row r="1002" spans="1:5" ht="15">
      <c r="A1002" s="13">
        <v>72379</v>
      </c>
      <c r="B1002" s="4">
        <f>147.6746 * CHOOSE(CONTROL!$C$9, $C$13, 100%, $E$13) + CHOOSE(CONTROL!$C$28, 0.0003, 0)</f>
        <v>147.67490000000001</v>
      </c>
      <c r="C1002" s="4">
        <f>147.3621 * CHOOSE(CONTROL!$C$9, $C$13, 100%, $E$13) + CHOOSE(CONTROL!$C$28, 0.0003, 0)</f>
        <v>147.36240000000001</v>
      </c>
      <c r="D1002" s="4">
        <f>115.8079 * CHOOSE(CONTROL!$C$9, $C$13, 100%, $E$13) + CHOOSE(CONTROL!$C$28, 0, 0)</f>
        <v>115.8079</v>
      </c>
      <c r="E1002" s="4">
        <f>781.237833714505 * CHOOSE(CONTROL!$C$9, $C$13, 100%, $E$13) + CHOOSE(CONTROL!$C$28, 0, 0)</f>
        <v>781.23783371450497</v>
      </c>
    </row>
    <row r="1003" spans="1:5" ht="15">
      <c r="A1003" s="13">
        <v>72410</v>
      </c>
      <c r="B1003" s="4">
        <f>156.5547 * CHOOSE(CONTROL!$C$9, $C$13, 100%, $E$13) + CHOOSE(CONTROL!$C$28, 0.0003, 0)</f>
        <v>156.55500000000001</v>
      </c>
      <c r="C1003" s="4">
        <f>156.2422 * CHOOSE(CONTROL!$C$9, $C$13, 100%, $E$13) + CHOOSE(CONTROL!$C$28, 0.0003, 0)</f>
        <v>156.24250000000001</v>
      </c>
      <c r="D1003" s="4">
        <f>121.8877 * CHOOSE(CONTROL!$C$9, $C$13, 100%, $E$13) + CHOOSE(CONTROL!$C$28, 0, 0)</f>
        <v>121.8877</v>
      </c>
      <c r="E1003" s="4">
        <f>828.820441070974 * CHOOSE(CONTROL!$C$9, $C$13, 100%, $E$13) + CHOOSE(CONTROL!$C$28, 0, 0)</f>
        <v>828.82044107097397</v>
      </c>
    </row>
    <row r="1004" spans="1:5" ht="15">
      <c r="A1004" s="13">
        <v>72440</v>
      </c>
      <c r="B1004" s="4">
        <f>162.8642 * CHOOSE(CONTROL!$C$9, $C$13, 100%, $E$13) + CHOOSE(CONTROL!$C$28, 0.0003, 0)</f>
        <v>162.86450000000002</v>
      </c>
      <c r="C1004" s="4">
        <f>162.5517 * CHOOSE(CONTROL!$C$9, $C$13, 100%, $E$13) + CHOOSE(CONTROL!$C$28, 0.0003, 0)</f>
        <v>162.55200000000002</v>
      </c>
      <c r="D1004" s="4">
        <f>125.3898 * CHOOSE(CONTROL!$C$9, $C$13, 100%, $E$13) + CHOOSE(CONTROL!$C$28, 0, 0)</f>
        <v>125.38979999999999</v>
      </c>
      <c r="E1004" s="4">
        <f>862.628517719364 * CHOOSE(CONTROL!$C$9, $C$13, 100%, $E$13) + CHOOSE(CONTROL!$C$28, 0, 0)</f>
        <v>862.62851771936403</v>
      </c>
    </row>
    <row r="1005" spans="1:5" ht="15">
      <c r="A1005" s="13">
        <v>72471</v>
      </c>
      <c r="B1005" s="4">
        <f>166.7191 * CHOOSE(CONTROL!$C$9, $C$13, 100%, $E$13) + CHOOSE(CONTROL!$C$28, 0.0294, 0)</f>
        <v>166.74850000000001</v>
      </c>
      <c r="C1005" s="4">
        <f>166.4066 * CHOOSE(CONTROL!$C$9, $C$13, 100%, $E$13) + CHOOSE(CONTROL!$C$28, 0.0294, 0)</f>
        <v>166.43600000000001</v>
      </c>
      <c r="D1005" s="4">
        <f>124.0059 * CHOOSE(CONTROL!$C$9, $C$13, 100%, $E$13) + CHOOSE(CONTROL!$C$28, 0, 0)</f>
        <v>124.0059</v>
      </c>
      <c r="E1005" s="4">
        <f>883.284442285018 * CHOOSE(CONTROL!$C$9, $C$13, 100%, $E$13) + CHOOSE(CONTROL!$C$28, 0, 0)</f>
        <v>883.28444228501803</v>
      </c>
    </row>
    <row r="1006" spans="1:5" ht="15">
      <c r="A1006" s="13">
        <v>72501</v>
      </c>
      <c r="B1006" s="4">
        <f>167.2407 * CHOOSE(CONTROL!$C$9, $C$13, 100%, $E$13) + CHOOSE(CONTROL!$C$28, 0.0294, 0)</f>
        <v>167.27010000000001</v>
      </c>
      <c r="C1006" s="4">
        <f>166.9282 * CHOOSE(CONTROL!$C$9, $C$13, 100%, $E$13) + CHOOSE(CONTROL!$C$28, 0.0294, 0)</f>
        <v>166.95760000000001</v>
      </c>
      <c r="D1006" s="4">
        <f>125.133 * CHOOSE(CONTROL!$C$9, $C$13, 100%, $E$13) + CHOOSE(CONTROL!$C$28, 0, 0)</f>
        <v>125.133</v>
      </c>
      <c r="E1006" s="4">
        <f>886.079274602599 * CHOOSE(CONTROL!$C$9, $C$13, 100%, $E$13) + CHOOSE(CONTROL!$C$28, 0, 0)</f>
        <v>886.07927460259896</v>
      </c>
    </row>
    <row r="1007" spans="1:5" ht="15">
      <c r="A1007" s="13">
        <v>72532</v>
      </c>
      <c r="B1007" s="4">
        <f>167.1881 * CHOOSE(CONTROL!$C$9, $C$13, 100%, $E$13) + CHOOSE(CONTROL!$C$28, 0.0294, 0)</f>
        <v>167.2175</v>
      </c>
      <c r="C1007" s="4">
        <f>166.8756 * CHOOSE(CONTROL!$C$9, $C$13, 100%, $E$13) + CHOOSE(CONTROL!$C$28, 0.0294, 0)</f>
        <v>166.905</v>
      </c>
      <c r="D1007" s="4">
        <f>127.1666 * CHOOSE(CONTROL!$C$9, $C$13, 100%, $E$13) + CHOOSE(CONTROL!$C$28, 0, 0)</f>
        <v>127.1666</v>
      </c>
      <c r="E1007" s="4">
        <f>885.797442772255 * CHOOSE(CONTROL!$C$9, $C$13, 100%, $E$13) + CHOOSE(CONTROL!$C$28, 0, 0)</f>
        <v>885.79744277225495</v>
      </c>
    </row>
    <row r="1008" spans="1:5" ht="15">
      <c r="A1008" s="13">
        <v>72563</v>
      </c>
      <c r="B1008" s="4">
        <f>171.1461 * CHOOSE(CONTROL!$C$9, $C$13, 100%, $E$13) + CHOOSE(CONTROL!$C$28, 0.0294, 0)</f>
        <v>171.1755</v>
      </c>
      <c r="C1008" s="4">
        <f>170.8336 * CHOOSE(CONTROL!$C$9, $C$13, 100%, $E$13) + CHOOSE(CONTROL!$C$28, 0.0294, 0)</f>
        <v>170.863</v>
      </c>
      <c r="D1008" s="4">
        <f>125.8236 * CHOOSE(CONTROL!$C$9, $C$13, 100%, $E$13) + CHOOSE(CONTROL!$C$28, 0, 0)</f>
        <v>125.8236</v>
      </c>
      <c r="E1008" s="4">
        <f>907.005288005666 * CHOOSE(CONTROL!$C$9, $C$13, 100%, $E$13) + CHOOSE(CONTROL!$C$28, 0, 0)</f>
        <v>907.00528800566599</v>
      </c>
    </row>
    <row r="1009" spans="1:5" ht="15">
      <c r="A1009" s="13">
        <v>72593</v>
      </c>
      <c r="B1009" s="4">
        <f>164.4005 * CHOOSE(CONTROL!$C$9, $C$13, 100%, $E$13) + CHOOSE(CONTROL!$C$28, 0.0294, 0)</f>
        <v>164.4299</v>
      </c>
      <c r="C1009" s="4">
        <f>164.088 * CHOOSE(CONTROL!$C$9, $C$13, 100%, $E$13) + CHOOSE(CONTROL!$C$28, 0.0294, 0)</f>
        <v>164.1174</v>
      </c>
      <c r="D1009" s="4">
        <f>125.1891 * CHOOSE(CONTROL!$C$9, $C$13, 100%, $E$13) + CHOOSE(CONTROL!$C$28, 0, 0)</f>
        <v>125.1891</v>
      </c>
      <c r="E1009" s="4">
        <f>870.860355764005 * CHOOSE(CONTROL!$C$9, $C$13, 100%, $E$13) + CHOOSE(CONTROL!$C$28, 0, 0)</f>
        <v>870.86035576400502</v>
      </c>
    </row>
    <row r="1010" spans="1:5" ht="15">
      <c r="A1010" s="13">
        <v>72624</v>
      </c>
      <c r="B1010" s="4">
        <f>159.0005 * CHOOSE(CONTROL!$C$9, $C$13, 100%, $E$13) + CHOOSE(CONTROL!$C$28, 0.0003, 0)</f>
        <v>159.0008</v>
      </c>
      <c r="C1010" s="4">
        <f>158.688 * CHOOSE(CONTROL!$C$9, $C$13, 100%, $E$13) + CHOOSE(CONTROL!$C$28, 0.0003, 0)</f>
        <v>158.6883</v>
      </c>
      <c r="D1010" s="4">
        <f>123.49 * CHOOSE(CONTROL!$C$9, $C$13, 100%, $E$13) + CHOOSE(CONTROL!$C$28, 0, 0)</f>
        <v>123.49</v>
      </c>
      <c r="E1010" s="4">
        <f>841.925621181986 * CHOOSE(CONTROL!$C$9, $C$13, 100%, $E$13) + CHOOSE(CONTROL!$C$28, 0, 0)</f>
        <v>841.925621181986</v>
      </c>
    </row>
    <row r="1011" spans="1:5" ht="15">
      <c r="A1011" s="13">
        <v>72654</v>
      </c>
      <c r="B1011" s="4">
        <f>155.5225 * CHOOSE(CONTROL!$C$9, $C$13, 100%, $E$13) + CHOOSE(CONTROL!$C$28, 0.0003, 0)</f>
        <v>155.52280000000002</v>
      </c>
      <c r="C1011" s="4">
        <f>155.21 * CHOOSE(CONTROL!$C$9, $C$13, 100%, $E$13) + CHOOSE(CONTROL!$C$28, 0.0003, 0)</f>
        <v>155.21030000000002</v>
      </c>
      <c r="D1011" s="4">
        <f>122.9059 * CHOOSE(CONTROL!$C$9, $C$13, 100%, $E$13) + CHOOSE(CONTROL!$C$28, 0, 0)</f>
        <v>122.9059</v>
      </c>
      <c r="E1011" s="4">
        <f>823.289491400467 * CHOOSE(CONTROL!$C$9, $C$13, 100%, $E$13) + CHOOSE(CONTROL!$C$28, 0, 0)</f>
        <v>823.289491400467</v>
      </c>
    </row>
    <row r="1012" spans="1:5" ht="15">
      <c r="A1012" s="13">
        <v>72685</v>
      </c>
      <c r="B1012" s="4">
        <f>153.1162 * CHOOSE(CONTROL!$C$9, $C$13, 100%, $E$13) + CHOOSE(CONTROL!$C$28, 0.0003, 0)</f>
        <v>153.1165</v>
      </c>
      <c r="C1012" s="4">
        <f>152.8037 * CHOOSE(CONTROL!$C$9, $C$13, 100%, $E$13) + CHOOSE(CONTROL!$C$28, 0.0003, 0)</f>
        <v>152.804</v>
      </c>
      <c r="D1012" s="4">
        <f>118.6055 * CHOOSE(CONTROL!$C$9, $C$13, 100%, $E$13) + CHOOSE(CONTROL!$C$28, 0, 0)</f>
        <v>118.60550000000001</v>
      </c>
      <c r="E1012" s="4">
        <f>810.395685162213 * CHOOSE(CONTROL!$C$9, $C$13, 100%, $E$13) + CHOOSE(CONTROL!$C$28, 0, 0)</f>
        <v>810.395685162213</v>
      </c>
    </row>
    <row r="1013" spans="1:5" ht="15">
      <c r="A1013" s="13">
        <v>72716</v>
      </c>
      <c r="B1013" s="4">
        <f>149.2064 * CHOOSE(CONTROL!$C$9, $C$13, 100%, $E$13) + CHOOSE(CONTROL!$C$28, 0.0003, 0)</f>
        <v>149.20670000000001</v>
      </c>
      <c r="C1013" s="4">
        <f>148.8939 * CHOOSE(CONTROL!$C$9, $C$13, 100%, $E$13) + CHOOSE(CONTROL!$C$28, 0.0003, 0)</f>
        <v>148.89420000000001</v>
      </c>
      <c r="D1013" s="4">
        <f>114.6531 * CHOOSE(CONTROL!$C$9, $C$13, 100%, $E$13) + CHOOSE(CONTROL!$C$28, 0, 0)</f>
        <v>114.65309999999999</v>
      </c>
      <c r="E1013" s="4">
        <f>787.156625084042 * CHOOSE(CONTROL!$C$9, $C$13, 100%, $E$13) + CHOOSE(CONTROL!$C$28, 0, 0)</f>
        <v>787.15662508404205</v>
      </c>
    </row>
    <row r="1014" spans="1:5" ht="15">
      <c r="A1014" s="13">
        <v>72744</v>
      </c>
      <c r="B1014" s="4">
        <f>152.7046 * CHOOSE(CONTROL!$C$9, $C$13, 100%, $E$13) + CHOOSE(CONTROL!$C$28, 0.0003, 0)</f>
        <v>152.70490000000001</v>
      </c>
      <c r="C1014" s="4">
        <f>152.3921 * CHOOSE(CONTROL!$C$9, $C$13, 100%, $E$13) + CHOOSE(CONTROL!$C$28, 0.0003, 0)</f>
        <v>152.39240000000001</v>
      </c>
      <c r="D1014" s="4">
        <f>118.6332 * CHOOSE(CONTROL!$C$9, $C$13, 100%, $E$13) + CHOOSE(CONTROL!$C$28, 0, 0)</f>
        <v>118.6332</v>
      </c>
      <c r="E1014" s="4">
        <f>805.846825476512 * CHOOSE(CONTROL!$C$9, $C$13, 100%, $E$13) + CHOOSE(CONTROL!$C$28, 0, 0)</f>
        <v>805.84682547651198</v>
      </c>
    </row>
    <row r="1015" spans="1:5" ht="15">
      <c r="A1015" s="13">
        <v>72775</v>
      </c>
      <c r="B1015" s="4">
        <f>161.8912 * CHOOSE(CONTROL!$C$9, $C$13, 100%, $E$13) + CHOOSE(CONTROL!$C$28, 0.0003, 0)</f>
        <v>161.89150000000001</v>
      </c>
      <c r="C1015" s="4">
        <f>161.5787 * CHOOSE(CONTROL!$C$9, $C$13, 100%, $E$13) + CHOOSE(CONTROL!$C$28, 0.0003, 0)</f>
        <v>161.57900000000001</v>
      </c>
      <c r="D1015" s="4">
        <f>124.8638 * CHOOSE(CONTROL!$C$9, $C$13, 100%, $E$13) + CHOOSE(CONTROL!$C$28, 0, 0)</f>
        <v>124.8638</v>
      </c>
      <c r="E1015" s="4">
        <f>854.92828496471 * CHOOSE(CONTROL!$C$9, $C$13, 100%, $E$13) + CHOOSE(CONTROL!$C$28, 0, 0)</f>
        <v>854.92828496470997</v>
      </c>
    </row>
    <row r="1016" spans="1:5" ht="15">
      <c r="A1016" s="13">
        <v>72805</v>
      </c>
      <c r="B1016" s="4">
        <f>168.4183 * CHOOSE(CONTROL!$C$9, $C$13, 100%, $E$13) + CHOOSE(CONTROL!$C$28, 0.0003, 0)</f>
        <v>168.4186</v>
      </c>
      <c r="C1016" s="4">
        <f>168.1058 * CHOOSE(CONTROL!$C$9, $C$13, 100%, $E$13) + CHOOSE(CONTROL!$C$28, 0.0003, 0)</f>
        <v>168.1061</v>
      </c>
      <c r="D1016" s="4">
        <f>128.4528 * CHOOSE(CONTROL!$C$9, $C$13, 100%, $E$13) + CHOOSE(CONTROL!$C$28, 0, 0)</f>
        <v>128.4528</v>
      </c>
      <c r="E1016" s="4">
        <f>889.801316027524 * CHOOSE(CONTROL!$C$9, $C$13, 100%, $E$13) + CHOOSE(CONTROL!$C$28, 0, 0)</f>
        <v>889.80131602752397</v>
      </c>
    </row>
    <row r="1017" spans="1:5" ht="15">
      <c r="A1017" s="13">
        <v>72836</v>
      </c>
      <c r="B1017" s="4">
        <f>172.4063 * CHOOSE(CONTROL!$C$9, $C$13, 100%, $E$13) + CHOOSE(CONTROL!$C$28, 0.0294, 0)</f>
        <v>172.4357</v>
      </c>
      <c r="C1017" s="4">
        <f>172.0938 * CHOOSE(CONTROL!$C$9, $C$13, 100%, $E$13) + CHOOSE(CONTROL!$C$28, 0.0294, 0)</f>
        <v>172.1232</v>
      </c>
      <c r="D1017" s="4">
        <f>127.0346 * CHOOSE(CONTROL!$C$9, $C$13, 100%, $E$13) + CHOOSE(CONTROL!$C$28, 0, 0)</f>
        <v>127.0346</v>
      </c>
      <c r="E1017" s="4">
        <f>911.107902216996 * CHOOSE(CONTROL!$C$9, $C$13, 100%, $E$13) + CHOOSE(CONTROL!$C$28, 0, 0)</f>
        <v>911.10790221699597</v>
      </c>
    </row>
    <row r="1018" spans="1:5" ht="15">
      <c r="A1018" s="13">
        <v>72866</v>
      </c>
      <c r="B1018" s="4">
        <f>172.9458 * CHOOSE(CONTROL!$C$9, $C$13, 100%, $E$13) + CHOOSE(CONTROL!$C$28, 0.0294, 0)</f>
        <v>172.9752</v>
      </c>
      <c r="C1018" s="4">
        <f>172.6333 * CHOOSE(CONTROL!$C$9, $C$13, 100%, $E$13) + CHOOSE(CONTROL!$C$28, 0.0294, 0)</f>
        <v>172.6627</v>
      </c>
      <c r="D1018" s="4">
        <f>128.1896 * CHOOSE(CONTROL!$C$9, $C$13, 100%, $E$13) + CHOOSE(CONTROL!$C$28, 0, 0)</f>
        <v>128.18960000000001</v>
      </c>
      <c r="E1018" s="4">
        <f>913.990771752581 * CHOOSE(CONTROL!$C$9, $C$13, 100%, $E$13) + CHOOSE(CONTROL!$C$28, 0, 0)</f>
        <v>913.99077175258105</v>
      </c>
    </row>
    <row r="1019" spans="1:5" ht="15">
      <c r="A1019" s="13">
        <v>72897</v>
      </c>
      <c r="B1019" s="4">
        <f>172.8914 * CHOOSE(CONTROL!$C$9, $C$13, 100%, $E$13) + CHOOSE(CONTROL!$C$28, 0.0294, 0)</f>
        <v>172.92080000000001</v>
      </c>
      <c r="C1019" s="4">
        <f>172.5789 * CHOOSE(CONTROL!$C$9, $C$13, 100%, $E$13) + CHOOSE(CONTROL!$C$28, 0.0294, 0)</f>
        <v>172.60830000000001</v>
      </c>
      <c r="D1019" s="4">
        <f>130.2737 * CHOOSE(CONTROL!$C$9, $C$13, 100%, $E$13) + CHOOSE(CONTROL!$C$28, 0, 0)</f>
        <v>130.27369999999999</v>
      </c>
      <c r="E1019" s="4">
        <f>913.700062219581 * CHOOSE(CONTROL!$C$9, $C$13, 100%, $E$13) + CHOOSE(CONTROL!$C$28, 0, 0)</f>
        <v>913.70006221958101</v>
      </c>
    </row>
    <row r="1020" spans="1:5" ht="15">
      <c r="A1020" s="13">
        <v>72928</v>
      </c>
      <c r="B1020" s="4">
        <f>176.9859 * CHOOSE(CONTROL!$C$9, $C$13, 100%, $E$13) + CHOOSE(CONTROL!$C$28, 0.0294, 0)</f>
        <v>177.0153</v>
      </c>
      <c r="C1020" s="4">
        <f>176.6734 * CHOOSE(CONTROL!$C$9, $C$13, 100%, $E$13) + CHOOSE(CONTROL!$C$28, 0.0294, 0)</f>
        <v>176.7028</v>
      </c>
      <c r="D1020" s="4">
        <f>128.8973 * CHOOSE(CONTROL!$C$9, $C$13, 100%, $E$13) + CHOOSE(CONTROL!$C$28, 0, 0)</f>
        <v>128.8973</v>
      </c>
      <c r="E1020" s="4">
        <f>935.575954577844 * CHOOSE(CONTROL!$C$9, $C$13, 100%, $E$13) + CHOOSE(CONTROL!$C$28, 0, 0)</f>
        <v>935.57595457784396</v>
      </c>
    </row>
    <row r="1021" spans="1:5" ht="15">
      <c r="A1021" s="13">
        <v>72958</v>
      </c>
      <c r="B1021" s="4">
        <f>170.0076 * CHOOSE(CONTROL!$C$9, $C$13, 100%, $E$13) + CHOOSE(CONTROL!$C$28, 0.0294, 0)</f>
        <v>170.03700000000001</v>
      </c>
      <c r="C1021" s="4">
        <f>169.6951 * CHOOSE(CONTROL!$C$9, $C$13, 100%, $E$13) + CHOOSE(CONTROL!$C$28, 0.0294, 0)</f>
        <v>169.72450000000001</v>
      </c>
      <c r="D1021" s="4">
        <f>128.2471 * CHOOSE(CONTROL!$C$9, $C$13, 100%, $E$13) + CHOOSE(CONTROL!$C$28, 0, 0)</f>
        <v>128.24709999999999</v>
      </c>
      <c r="E1021" s="4">
        <f>898.292456970571 * CHOOSE(CONTROL!$C$9, $C$13, 100%, $E$13) + CHOOSE(CONTROL!$C$28, 0, 0)</f>
        <v>898.29245697057104</v>
      </c>
    </row>
    <row r="1022" spans="1:5" ht="15">
      <c r="A1022" s="13">
        <v>72989</v>
      </c>
      <c r="B1022" s="4">
        <f>164.4213 * CHOOSE(CONTROL!$C$9, $C$13, 100%, $E$13) + CHOOSE(CONTROL!$C$28, 0.0003, 0)</f>
        <v>164.42160000000001</v>
      </c>
      <c r="C1022" s="4">
        <f>164.1088 * CHOOSE(CONTROL!$C$9, $C$13, 100%, $E$13) + CHOOSE(CONTROL!$C$28, 0.0003, 0)</f>
        <v>164.10910000000001</v>
      </c>
      <c r="D1022" s="4">
        <f>126.5059 * CHOOSE(CONTROL!$C$9, $C$13, 100%, $E$13) + CHOOSE(CONTROL!$C$28, 0, 0)</f>
        <v>126.5059</v>
      </c>
      <c r="E1022" s="4">
        <f>868.446278249218 * CHOOSE(CONTROL!$C$9, $C$13, 100%, $E$13) + CHOOSE(CONTROL!$C$28, 0, 0)</f>
        <v>868.44627824921804</v>
      </c>
    </row>
    <row r="1023" spans="1:5" ht="15">
      <c r="A1023" s="13">
        <v>73019</v>
      </c>
      <c r="B1023" s="4">
        <f>160.8233 * CHOOSE(CONTROL!$C$9, $C$13, 100%, $E$13) + CHOOSE(CONTROL!$C$28, 0.0003, 0)</f>
        <v>160.8236</v>
      </c>
      <c r="C1023" s="4">
        <f>160.5108 * CHOOSE(CONTROL!$C$9, $C$13, 100%, $E$13) + CHOOSE(CONTROL!$C$28, 0.0003, 0)</f>
        <v>160.5111</v>
      </c>
      <c r="D1023" s="4">
        <f>125.9073 * CHOOSE(CONTROL!$C$9, $C$13, 100%, $E$13) + CHOOSE(CONTROL!$C$28, 0, 0)</f>
        <v>125.90730000000001</v>
      </c>
      <c r="E1023" s="4">
        <f>849.223110379581 * CHOOSE(CONTROL!$C$9, $C$13, 100%, $E$13) + CHOOSE(CONTROL!$C$28, 0, 0)</f>
        <v>849.22311037958104</v>
      </c>
    </row>
    <row r="1024" spans="1:5" ht="15">
      <c r="A1024" s="13">
        <v>73050</v>
      </c>
      <c r="B1024" s="4">
        <f>158.334 * CHOOSE(CONTROL!$C$9, $C$13, 100%, $E$13) + CHOOSE(CONTROL!$C$28, 0.0003, 0)</f>
        <v>158.33430000000001</v>
      </c>
      <c r="C1024" s="4">
        <f>158.0215 * CHOOSE(CONTROL!$C$9, $C$13, 100%, $E$13) + CHOOSE(CONTROL!$C$28, 0.0003, 0)</f>
        <v>158.02180000000001</v>
      </c>
      <c r="D1024" s="4">
        <f>121.5003 * CHOOSE(CONTROL!$C$9, $C$13, 100%, $E$13) + CHOOSE(CONTROL!$C$28, 0, 0)</f>
        <v>121.5003</v>
      </c>
      <c r="E1024" s="4">
        <f>835.923149244823 * CHOOSE(CONTROL!$C$9, $C$13, 100%, $E$13) + CHOOSE(CONTROL!$C$28, 0, 0)</f>
        <v>835.92314924482298</v>
      </c>
    </row>
    <row r="1025" spans="1:5" ht="15">
      <c r="A1025" s="13">
        <v>73081</v>
      </c>
      <c r="B1025" s="4">
        <f>154.2893 * CHOOSE(CONTROL!$C$9, $C$13, 100%, $E$13) + CHOOSE(CONTROL!$C$28, 0.0003, 0)</f>
        <v>154.28960000000001</v>
      </c>
      <c r="C1025" s="4">
        <f>153.9768 * CHOOSE(CONTROL!$C$9, $C$13, 100%, $E$13) + CHOOSE(CONTROL!$C$28, 0.0003, 0)</f>
        <v>153.97710000000001</v>
      </c>
      <c r="D1025" s="4">
        <f>117.4498 * CHOOSE(CONTROL!$C$9, $C$13, 100%, $E$13) + CHOOSE(CONTROL!$C$28, 0, 0)</f>
        <v>117.4498</v>
      </c>
      <c r="E1025" s="4">
        <f>811.952058774189 * CHOOSE(CONTROL!$C$9, $C$13, 100%, $E$13) + CHOOSE(CONTROL!$C$28, 0, 0)</f>
        <v>811.95205877418903</v>
      </c>
    </row>
    <row r="1026" spans="1:5" ht="15">
      <c r="A1026" s="13">
        <v>73109</v>
      </c>
      <c r="B1026" s="4">
        <f>157.9083 * CHOOSE(CONTROL!$C$9, $C$13, 100%, $E$13) + CHOOSE(CONTROL!$C$28, 0.0003, 0)</f>
        <v>157.90860000000001</v>
      </c>
      <c r="C1026" s="4">
        <f>157.5958 * CHOOSE(CONTROL!$C$9, $C$13, 100%, $E$13) + CHOOSE(CONTROL!$C$28, 0.0003, 0)</f>
        <v>157.59610000000001</v>
      </c>
      <c r="D1026" s="4">
        <f>121.5286 * CHOOSE(CONTROL!$C$9, $C$13, 100%, $E$13) + CHOOSE(CONTROL!$C$28, 0, 0)</f>
        <v>121.5286</v>
      </c>
      <c r="E1026" s="4">
        <f>831.231000479022 * CHOOSE(CONTROL!$C$9, $C$13, 100%, $E$13) + CHOOSE(CONTROL!$C$28, 0, 0)</f>
        <v>831.23100047902199</v>
      </c>
    </row>
    <row r="1027" spans="1:5" ht="15">
      <c r="A1027" s="13">
        <v>73140</v>
      </c>
      <c r="B1027" s="4">
        <f>167.4117 * CHOOSE(CONTROL!$C$9, $C$13, 100%, $E$13) + CHOOSE(CONTROL!$C$28, 0.0003, 0)</f>
        <v>167.41200000000001</v>
      </c>
      <c r="C1027" s="4">
        <f>167.0992 * CHOOSE(CONTROL!$C$9, $C$13, 100%, $E$13) + CHOOSE(CONTROL!$C$28, 0.0003, 0)</f>
        <v>167.09950000000001</v>
      </c>
      <c r="D1027" s="4">
        <f>127.9137 * CHOOSE(CONTROL!$C$9, $C$13, 100%, $E$13) + CHOOSE(CONTROL!$C$28, 0, 0)</f>
        <v>127.91370000000001</v>
      </c>
      <c r="E1027" s="4">
        <f>881.858525941098 * CHOOSE(CONTROL!$C$9, $C$13, 100%, $E$13) + CHOOSE(CONTROL!$C$28, 0, 0)</f>
        <v>881.85852594109804</v>
      </c>
    </row>
    <row r="1028" spans="1:5" ht="15">
      <c r="A1028" s="13">
        <v>73170</v>
      </c>
      <c r="B1028" s="4">
        <f>174.1641 * CHOOSE(CONTROL!$C$9, $C$13, 100%, $E$13) + CHOOSE(CONTROL!$C$28, 0.0003, 0)</f>
        <v>174.1644</v>
      </c>
      <c r="C1028" s="4">
        <f>173.8516 * CHOOSE(CONTROL!$C$9, $C$13, 100%, $E$13) + CHOOSE(CONTROL!$C$28, 0.0003, 0)</f>
        <v>173.8519</v>
      </c>
      <c r="D1028" s="4">
        <f>131.5917 * CHOOSE(CONTROL!$C$9, $C$13, 100%, $E$13) + CHOOSE(CONTROL!$C$28, 0, 0)</f>
        <v>131.5917</v>
      </c>
      <c r="E1028" s="4">
        <f>917.830057482391 * CHOOSE(CONTROL!$C$9, $C$13, 100%, $E$13) + CHOOSE(CONTROL!$C$28, 0, 0)</f>
        <v>917.830057482391</v>
      </c>
    </row>
    <row r="1029" spans="1:5" ht="15">
      <c r="A1029" s="13">
        <v>73201</v>
      </c>
      <c r="B1029" s="4">
        <f>178.2896 * CHOOSE(CONTROL!$C$9, $C$13, 100%, $E$13) + CHOOSE(CONTROL!$C$28, 0.0294, 0)</f>
        <v>178.31900000000002</v>
      </c>
      <c r="C1029" s="4">
        <f>177.9771 * CHOOSE(CONTROL!$C$9, $C$13, 100%, $E$13) + CHOOSE(CONTROL!$C$28, 0.0294, 0)</f>
        <v>178.00650000000002</v>
      </c>
      <c r="D1029" s="4">
        <f>130.1384 * CHOOSE(CONTROL!$C$9, $C$13, 100%, $E$13) + CHOOSE(CONTROL!$C$28, 0, 0)</f>
        <v>130.13839999999999</v>
      </c>
      <c r="E1029" s="4">
        <f>939.807801136831 * CHOOSE(CONTROL!$C$9, $C$13, 100%, $E$13) + CHOOSE(CONTROL!$C$28, 0, 0)</f>
        <v>939.80780113683102</v>
      </c>
    </row>
    <row r="1030" spans="1:5" ht="15">
      <c r="A1030" s="13">
        <v>73231</v>
      </c>
      <c r="B1030" s="4">
        <f>178.8478 * CHOOSE(CONTROL!$C$9, $C$13, 100%, $E$13) + CHOOSE(CONTROL!$C$28, 0.0294, 0)</f>
        <v>178.87720000000002</v>
      </c>
      <c r="C1030" s="4">
        <f>178.5353 * CHOOSE(CONTROL!$C$9, $C$13, 100%, $E$13) + CHOOSE(CONTROL!$C$28, 0.0294, 0)</f>
        <v>178.56470000000002</v>
      </c>
      <c r="D1030" s="4">
        <f>131.322 * CHOOSE(CONTROL!$C$9, $C$13, 100%, $E$13) + CHOOSE(CONTROL!$C$28, 0, 0)</f>
        <v>131.322</v>
      </c>
      <c r="E1030" s="4">
        <f>942.781481062787 * CHOOSE(CONTROL!$C$9, $C$13, 100%, $E$13) + CHOOSE(CONTROL!$C$28, 0, 0)</f>
        <v>942.78148106278695</v>
      </c>
    </row>
    <row r="1031" spans="1:5" ht="15">
      <c r="A1031" s="13">
        <v>73262</v>
      </c>
      <c r="B1031" s="4">
        <f>178.7915 * CHOOSE(CONTROL!$C$9, $C$13, 100%, $E$13) + CHOOSE(CONTROL!$C$28, 0.0294, 0)</f>
        <v>178.82090000000002</v>
      </c>
      <c r="C1031" s="4">
        <f>178.479 * CHOOSE(CONTROL!$C$9, $C$13, 100%, $E$13) + CHOOSE(CONTROL!$C$28, 0.0294, 0)</f>
        <v>178.50840000000002</v>
      </c>
      <c r="D1031" s="4">
        <f>133.4578 * CHOOSE(CONTROL!$C$9, $C$13, 100%, $E$13) + CHOOSE(CONTROL!$C$28, 0, 0)</f>
        <v>133.45779999999999</v>
      </c>
      <c r="E1031" s="4">
        <f>942.481614179497 * CHOOSE(CONTROL!$C$9, $C$13, 100%, $E$13) + CHOOSE(CONTROL!$C$28, 0, 0)</f>
        <v>942.481614179497</v>
      </c>
    </row>
    <row r="1032" spans="1:5" ht="15">
      <c r="A1032" s="13">
        <v>73293</v>
      </c>
      <c r="B1032" s="4">
        <f>183.0273 * CHOOSE(CONTROL!$C$9, $C$13, 100%, $E$13) + CHOOSE(CONTROL!$C$28, 0.0294, 0)</f>
        <v>183.05670000000001</v>
      </c>
      <c r="C1032" s="4">
        <f>182.7148 * CHOOSE(CONTROL!$C$9, $C$13, 100%, $E$13) + CHOOSE(CONTROL!$C$28, 0.0294, 0)</f>
        <v>182.74420000000001</v>
      </c>
      <c r="D1032" s="4">
        <f>132.0473 * CHOOSE(CONTROL!$C$9, $C$13, 100%, $E$13) + CHOOSE(CONTROL!$C$28, 0, 0)</f>
        <v>132.04730000000001</v>
      </c>
      <c r="E1032" s="4">
        <f>965.046597147047 * CHOOSE(CONTROL!$C$9, $C$13, 100%, $E$13) + CHOOSE(CONTROL!$C$28, 0, 0)</f>
        <v>965.04659714704701</v>
      </c>
    </row>
    <row r="1033" spans="1:5" ht="15">
      <c r="A1033" s="13">
        <v>73323</v>
      </c>
      <c r="B1033" s="4">
        <f>175.8082 * CHOOSE(CONTROL!$C$9, $C$13, 100%, $E$13) + CHOOSE(CONTROL!$C$28, 0.0294, 0)</f>
        <v>175.83760000000001</v>
      </c>
      <c r="C1033" s="4">
        <f>175.4957 * CHOOSE(CONTROL!$C$9, $C$13, 100%, $E$13) + CHOOSE(CONTROL!$C$28, 0.0294, 0)</f>
        <v>175.52510000000001</v>
      </c>
      <c r="D1033" s="4">
        <f>131.3809 * CHOOSE(CONTROL!$C$9, $C$13, 100%, $E$13) + CHOOSE(CONTROL!$C$28, 0, 0)</f>
        <v>131.3809</v>
      </c>
      <c r="E1033" s="4">
        <f>926.588669365144 * CHOOSE(CONTROL!$C$9, $C$13, 100%, $E$13) + CHOOSE(CONTROL!$C$28, 0, 0)</f>
        <v>926.58866936514403</v>
      </c>
    </row>
    <row r="1034" spans="1:5" ht="15">
      <c r="A1034" s="13">
        <v>73354</v>
      </c>
      <c r="B1034" s="4">
        <f>170.0292 * CHOOSE(CONTROL!$C$9, $C$13, 100%, $E$13) + CHOOSE(CONTROL!$C$28, 0.0003, 0)</f>
        <v>170.02950000000001</v>
      </c>
      <c r="C1034" s="4">
        <f>169.7167 * CHOOSE(CONTROL!$C$9, $C$13, 100%, $E$13) + CHOOSE(CONTROL!$C$28, 0.0003, 0)</f>
        <v>169.71700000000001</v>
      </c>
      <c r="D1034" s="4">
        <f>129.5966 * CHOOSE(CONTROL!$C$9, $C$13, 100%, $E$13) + CHOOSE(CONTROL!$C$28, 0, 0)</f>
        <v>129.5966</v>
      </c>
      <c r="E1034" s="4">
        <f>895.802336014069 * CHOOSE(CONTROL!$C$9, $C$13, 100%, $E$13) + CHOOSE(CONTROL!$C$28, 0, 0)</f>
        <v>895.80233601406906</v>
      </c>
    </row>
    <row r="1035" spans="1:5" ht="15">
      <c r="A1035" s="13">
        <v>73384</v>
      </c>
      <c r="B1035" s="4">
        <f>166.3071 * CHOOSE(CONTROL!$C$9, $C$13, 100%, $E$13) + CHOOSE(CONTROL!$C$28, 0.0003, 0)</f>
        <v>166.3074</v>
      </c>
      <c r="C1035" s="4">
        <f>165.9946 * CHOOSE(CONTROL!$C$9, $C$13, 100%, $E$13) + CHOOSE(CONTROL!$C$28, 0.0003, 0)</f>
        <v>165.9949</v>
      </c>
      <c r="D1035" s="4">
        <f>128.9831 * CHOOSE(CONTROL!$C$9, $C$13, 100%, $E$13) + CHOOSE(CONTROL!$C$28, 0, 0)</f>
        <v>128.98310000000001</v>
      </c>
      <c r="E1035" s="4">
        <f>875.973638356538 * CHOOSE(CONTROL!$C$9, $C$13, 100%, $E$13) + CHOOSE(CONTROL!$C$28, 0, 0)</f>
        <v>875.973638356538</v>
      </c>
    </row>
    <row r="1036" spans="1:5" ht="15">
      <c r="A1036" s="13">
        <v>73415</v>
      </c>
      <c r="B1036" s="4">
        <f>163.7318 * CHOOSE(CONTROL!$C$9, $C$13, 100%, $E$13) + CHOOSE(CONTROL!$C$28, 0.0003, 0)</f>
        <v>163.7321</v>
      </c>
      <c r="C1036" s="4">
        <f>163.4193 * CHOOSE(CONTROL!$C$9, $C$13, 100%, $E$13) + CHOOSE(CONTROL!$C$28, 0.0003, 0)</f>
        <v>163.4196</v>
      </c>
      <c r="D1036" s="4">
        <f>124.4668 * CHOOSE(CONTROL!$C$9, $C$13, 100%, $E$13) + CHOOSE(CONTROL!$C$28, 0, 0)</f>
        <v>124.46680000000001</v>
      </c>
      <c r="E1036" s="4">
        <f>862.254728446035 * CHOOSE(CONTROL!$C$9, $C$13, 100%, $E$13) + CHOOSE(CONTROL!$C$28, 0, 0)</f>
        <v>862.25472844603496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6.2619000000000007</v>
      </c>
      <c r="C1038" s="4">
        <f>AVERAGE(C17:C28)</f>
        <v>5.9494000000000007</v>
      </c>
      <c r="D1038" s="4">
        <f>AVERAGE(D17:D28)</f>
        <v>10.115333333333334</v>
      </c>
      <c r="E1038" s="4">
        <f>AVERAGE(E17:E28)</f>
        <v>36.750833333333333</v>
      </c>
    </row>
    <row r="1039" spans="1:5" ht="15">
      <c r="A1039" s="3">
        <v>2017</v>
      </c>
      <c r="B1039" s="4">
        <f>AVERAGE(B29:B40)</f>
        <v>7.2715416666666677</v>
      </c>
      <c r="C1039" s="4">
        <f>AVERAGE(C29:C40)</f>
        <v>6.9590416666666677</v>
      </c>
      <c r="D1039" s="4">
        <f>AVERAGE(D29:D40)</f>
        <v>11.258691666666669</v>
      </c>
      <c r="E1039" s="4">
        <f>AVERAGE(E29:E40)</f>
        <v>41.940000000000005</v>
      </c>
    </row>
    <row r="1040" spans="1:5" ht="15">
      <c r="A1040" s="3">
        <v>2018</v>
      </c>
      <c r="B1040" s="4">
        <f>AVERAGE(B41:B52)</f>
        <v>7.6443416666666666</v>
      </c>
      <c r="C1040" s="4">
        <f>AVERAGE(C41:C52)</f>
        <v>7.3318416666666666</v>
      </c>
      <c r="D1040" s="4">
        <f>AVERAGE(D41:D52)</f>
        <v>11.921758333333335</v>
      </c>
      <c r="E1040" s="4">
        <f>AVERAGE(E41:E52)</f>
        <v>44.325833333333328</v>
      </c>
    </row>
    <row r="1041" spans="1:5" ht="15">
      <c r="A1041" s="3">
        <v>2019</v>
      </c>
      <c r="B1041" s="4">
        <f>AVERAGE(B53:B64)</f>
        <v>10.065783333333334</v>
      </c>
      <c r="C1041" s="4">
        <f>AVERAGE(C53:C64)</f>
        <v>9.753283333333334</v>
      </c>
      <c r="D1041" s="4">
        <f>AVERAGE(D53:D64)</f>
        <v>15.075225000000001</v>
      </c>
      <c r="E1041" s="4">
        <f>AVERAGE(E53:E64)</f>
        <v>58.477361246744799</v>
      </c>
    </row>
    <row r="1042" spans="1:5" ht="15">
      <c r="A1042" s="3">
        <v>2020</v>
      </c>
      <c r="B1042" s="4">
        <f>AVERAGE(B65:B76)</f>
        <v>10.617266666666666</v>
      </c>
      <c r="C1042" s="4">
        <f>AVERAGE(C65:C76)</f>
        <v>10.304766666666666</v>
      </c>
      <c r="D1042" s="4">
        <f>AVERAGE(D65:D76)</f>
        <v>15.707274999999997</v>
      </c>
      <c r="E1042" s="4">
        <f>AVERAGE(E65:E76)</f>
        <v>61.681244506835931</v>
      </c>
    </row>
    <row r="1043" spans="1:5" ht="15">
      <c r="A1043" s="3">
        <v>2021</v>
      </c>
      <c r="B1043" s="4">
        <f>AVERAGE(B77:B88)</f>
        <v>13.857024999999998</v>
      </c>
      <c r="C1043" s="4">
        <f>AVERAGE(C77:C88)</f>
        <v>13.544524999999998</v>
      </c>
      <c r="D1043" s="4">
        <f>AVERAGE(D77:D88)</f>
        <v>19.228408333333334</v>
      </c>
      <c r="E1043" s="4">
        <f>AVERAGE(E77:E88)</f>
        <v>79.433403015136733</v>
      </c>
    </row>
    <row r="1044" spans="1:5" ht="15">
      <c r="A1044" s="3">
        <v>2022</v>
      </c>
      <c r="B1044" s="4">
        <f>AVERAGE(B89:B100)</f>
        <v>14.467608333333336</v>
      </c>
      <c r="C1044" s="4">
        <f>AVERAGE(C89:C100)</f>
        <v>14.155108333333336</v>
      </c>
      <c r="D1044" s="4">
        <f>AVERAGE(D89:D100)</f>
        <v>20.051550000000002</v>
      </c>
      <c r="E1044" s="4">
        <f>AVERAGE(E89:E100)</f>
        <v>83.260375976562514</v>
      </c>
    </row>
    <row r="1045" spans="1:5" ht="15">
      <c r="A1045" s="3">
        <v>2023</v>
      </c>
      <c r="B1045" s="4">
        <f>AVERAGE(B101:B112)</f>
        <v>15.169641666666665</v>
      </c>
      <c r="C1045" s="4">
        <f>AVERAGE(C101:C112)</f>
        <v>14.857141666666665</v>
      </c>
      <c r="D1045" s="4">
        <f>AVERAGE(D101:D112)</f>
        <v>20.972366666666669</v>
      </c>
      <c r="E1045" s="4">
        <f>AVERAGE(E101:E112)</f>
        <v>87.259902954101563</v>
      </c>
    </row>
    <row r="1046" spans="1:5" ht="15">
      <c r="A1046" s="3">
        <v>2024</v>
      </c>
      <c r="B1046" s="4">
        <f>AVERAGE(B113:B124)</f>
        <v>15.849449999999997</v>
      </c>
      <c r="C1046" s="4">
        <f>AVERAGE(C113:C124)</f>
        <v>15.536949999999997</v>
      </c>
      <c r="D1046" s="4">
        <f>AVERAGE(D113:D124)</f>
        <v>22.257758333333332</v>
      </c>
      <c r="E1046" s="4">
        <f>AVERAGE(E113:E124)</f>
        <v>91.379600524902358</v>
      </c>
    </row>
    <row r="1047" spans="1:5" ht="15">
      <c r="A1047" s="3">
        <v>2025</v>
      </c>
      <c r="B1047" s="4">
        <f>AVERAGE(B125:B136)</f>
        <v>16.623999999999995</v>
      </c>
      <c r="C1047" s="4">
        <f>AVERAGE(C125:C136)</f>
        <v>16.311499999999995</v>
      </c>
      <c r="D1047" s="4">
        <f>AVERAGE(D125:D136)</f>
        <v>23.13025</v>
      </c>
      <c r="E1047" s="4">
        <f>AVERAGE(E125:E136)</f>
        <v>94.367088317871094</v>
      </c>
    </row>
    <row r="1048" spans="1:5" ht="15">
      <c r="A1048" s="3">
        <v>2026</v>
      </c>
      <c r="B1048" s="4">
        <f>AVERAGE(B137:B148)</f>
        <v>17.076183333333333</v>
      </c>
      <c r="C1048" s="4">
        <f>AVERAGE(C137:C148)</f>
        <v>16.763683333333333</v>
      </c>
      <c r="D1048" s="4">
        <f>AVERAGE(D137:D148)</f>
        <v>23.775508333333335</v>
      </c>
      <c r="E1048" s="4">
        <f>AVERAGE(E137:E148)</f>
        <v>97.621452331543026</v>
      </c>
    </row>
    <row r="1049" spans="1:5" ht="15">
      <c r="A1049" s="3">
        <v>2027</v>
      </c>
      <c r="B1049" s="4">
        <f>AVERAGE(B149:B160)</f>
        <v>17.478825000000001</v>
      </c>
      <c r="C1049" s="4">
        <f>AVERAGE(C149:C160)</f>
        <v>17.166325000000001</v>
      </c>
      <c r="D1049" s="4">
        <f>AVERAGE(D149:D160)</f>
        <v>24.314225000000004</v>
      </c>
      <c r="E1049" s="4">
        <f>AVERAGE(E149:E160)</f>
        <v>100.26343536376947</v>
      </c>
    </row>
    <row r="1050" spans="1:5" ht="15">
      <c r="A1050" s="3">
        <v>2028</v>
      </c>
      <c r="B1050" s="4">
        <f>AVERAGE(B161:B172)</f>
        <v>17.857574999999997</v>
      </c>
      <c r="C1050" s="4">
        <f>AVERAGE(C161:C172)</f>
        <v>17.545074999999997</v>
      </c>
      <c r="D1050" s="4">
        <f>AVERAGE(D161:D172)</f>
        <v>24.776283333333335</v>
      </c>
      <c r="E1050" s="4">
        <f>AVERAGE(E161:E172)</f>
        <v>102.80760955810551</v>
      </c>
    </row>
    <row r="1051" spans="1:5" ht="15">
      <c r="A1051" s="3">
        <v>2029</v>
      </c>
      <c r="B1051" s="4">
        <f>AVERAGE(B173:B184)</f>
        <v>18.303191666666667</v>
      </c>
      <c r="C1051" s="4">
        <f>AVERAGE(C173:C184)</f>
        <v>17.990691666666667</v>
      </c>
      <c r="D1051" s="4">
        <f>AVERAGE(D173:D184)</f>
        <v>25.244024999999997</v>
      </c>
      <c r="E1051" s="4">
        <f>AVERAGE(E173:E184)</f>
        <v>105.67950439453124</v>
      </c>
    </row>
    <row r="1052" spans="1:5" ht="15">
      <c r="A1052" s="3">
        <v>2030</v>
      </c>
      <c r="B1052" s="4">
        <f>AVERAGE(B185:B196)</f>
        <v>18.75000833333333</v>
      </c>
      <c r="C1052" s="4">
        <f>AVERAGE(C185:C196)</f>
        <v>18.43750833333333</v>
      </c>
      <c r="D1052" s="4">
        <f>AVERAGE(D185:D196)</f>
        <v>25.720883333333333</v>
      </c>
      <c r="E1052" s="4">
        <f>AVERAGE(E185:E196)</f>
        <v>108.57302093505869</v>
      </c>
    </row>
    <row r="1053" spans="1:5" ht="15">
      <c r="A1053" s="3">
        <v>2031</v>
      </c>
      <c r="B1053" s="4">
        <f>AVERAGE(B197:B208)</f>
        <v>19.084883333333334</v>
      </c>
      <c r="C1053" s="4">
        <f>AVERAGE(C197:C208)</f>
        <v>18.772383333333334</v>
      </c>
      <c r="D1053" s="4">
        <f>AVERAGE(D197:D208)</f>
        <v>26.087924999999998</v>
      </c>
      <c r="E1053" s="4">
        <f>AVERAGE(E197:E208)</f>
        <v>110.79463195800783</v>
      </c>
    </row>
    <row r="1054" spans="1:5" ht="15">
      <c r="A1054" s="3">
        <v>2032</v>
      </c>
      <c r="B1054" s="4">
        <f>AVERAGE(B209:B220)</f>
        <v>19.438941666666665</v>
      </c>
      <c r="C1054" s="4">
        <f>AVERAGE(C209:C220)</f>
        <v>19.126441666666665</v>
      </c>
      <c r="D1054" s="4">
        <f>AVERAGE(D209:D220)</f>
        <v>26.458858333333328</v>
      </c>
      <c r="E1054" s="4">
        <f>AVERAGE(E209:E220)</f>
        <v>113.02646636962892</v>
      </c>
    </row>
    <row r="1055" spans="1:5" ht="15">
      <c r="A1055" s="3">
        <v>2033</v>
      </c>
      <c r="B1055" s="4">
        <f>AVERAGE(B221:B232)</f>
        <v>19.788824999999999</v>
      </c>
      <c r="C1055" s="4">
        <f>AVERAGE(C221:C232)</f>
        <v>19.476324999999999</v>
      </c>
      <c r="D1055" s="4">
        <f>AVERAGE(D221:D232)</f>
        <v>26.825208333333332</v>
      </c>
      <c r="E1055" s="4">
        <f>AVERAGE(E221:E232)</f>
        <v>115.24274444580067</v>
      </c>
    </row>
    <row r="1056" spans="1:5" ht="15">
      <c r="A1056" s="3">
        <v>2034</v>
      </c>
      <c r="B1056" s="4">
        <f>AVERAGE(B233:B244)</f>
        <v>20.144616666666661</v>
      </c>
      <c r="C1056" s="4">
        <f>AVERAGE(C233:C244)</f>
        <v>19.832116666666661</v>
      </c>
      <c r="D1056" s="4">
        <f>AVERAGE(D233:D244)</f>
        <v>27.198066666666666</v>
      </c>
      <c r="E1056" s="4">
        <f>AVERAGE(E233:E244)</f>
        <v>117.50201416015641</v>
      </c>
    </row>
    <row r="1057" spans="1:5" ht="15">
      <c r="A1057" s="3">
        <v>2035</v>
      </c>
      <c r="B1057" s="4">
        <f>AVERAGE(B245:B256)</f>
        <v>20.508233333333333</v>
      </c>
      <c r="C1057" s="4">
        <f>AVERAGE(C245:C256)</f>
        <v>20.195733333333333</v>
      </c>
      <c r="D1057" s="4">
        <f>AVERAGE(D245:D256)</f>
        <v>27.606983333333336</v>
      </c>
      <c r="E1057" s="4">
        <f>AVERAGE(E245:E256)</f>
        <v>119.80786132812501</v>
      </c>
    </row>
    <row r="1058" spans="1:5" ht="15">
      <c r="A1058" s="3">
        <v>2036</v>
      </c>
      <c r="B1058" s="4">
        <f>AVERAGE(B257:B268)</f>
        <v>21.15066666666667</v>
      </c>
      <c r="C1058" s="4">
        <f>AVERAGE(C257:C268)</f>
        <v>20.83816666666667</v>
      </c>
      <c r="D1058" s="4">
        <f>AVERAGE(D257:D268)</f>
        <v>28.244933333333336</v>
      </c>
      <c r="E1058" s="4">
        <f>AVERAGE(E257:E268)</f>
        <v>123.58180895996094</v>
      </c>
    </row>
    <row r="1059" spans="1:5" ht="15">
      <c r="A1059" s="3">
        <v>2037</v>
      </c>
      <c r="B1059" s="4">
        <f>AVERAGE(B269:B280)</f>
        <v>21.815233333333335</v>
      </c>
      <c r="C1059" s="4">
        <f>AVERAGE(C269:C280)</f>
        <v>21.502733333333335</v>
      </c>
      <c r="D1059" s="4">
        <f>AVERAGE(D269:D280)</f>
        <v>28.898733333333336</v>
      </c>
      <c r="E1059" s="4">
        <f>AVERAGE(E269:E280)</f>
        <v>127.47463594219975</v>
      </c>
    </row>
    <row r="1060" spans="1:5" ht="15">
      <c r="A1060" s="3">
        <f t="shared" ref="A1060:A1091" si="0">A1059+1</f>
        <v>2038</v>
      </c>
      <c r="B1060" s="4">
        <f>AVERAGE(B281:B292)</f>
        <v>22.502750000000002</v>
      </c>
      <c r="C1060" s="4">
        <f>AVERAGE(C281:C292)</f>
        <v>22.190250000000002</v>
      </c>
      <c r="D1060" s="4">
        <f>AVERAGE(D281:D292)</f>
        <v>29.568716666666671</v>
      </c>
      <c r="E1060" s="4">
        <f>AVERAGE(E281:E292)</f>
        <v>131.49008697437901</v>
      </c>
    </row>
    <row r="1061" spans="1:5" ht="15">
      <c r="A1061" s="3">
        <f t="shared" si="0"/>
        <v>2039</v>
      </c>
      <c r="B1061" s="4">
        <f>AVERAGE(B293:B304)</f>
        <v>23.213958333333334</v>
      </c>
      <c r="C1061" s="4">
        <f>AVERAGE(C293:C304)</f>
        <v>22.901458333333334</v>
      </c>
      <c r="D1061" s="4">
        <f>AVERAGE(D293:D304)</f>
        <v>30.255324999999996</v>
      </c>
      <c r="E1061" s="4">
        <f>AVERAGE(E293:E304)</f>
        <v>135.63202471407195</v>
      </c>
    </row>
    <row r="1062" spans="1:5" ht="15">
      <c r="A1062" s="3">
        <f t="shared" si="0"/>
        <v>2040</v>
      </c>
      <c r="B1062" s="4">
        <f>AVERAGE(B305:B316)</f>
        <v>23.949749999999998</v>
      </c>
      <c r="C1062" s="4">
        <f>AVERAGE(C305:C316)</f>
        <v>23.637249999999998</v>
      </c>
      <c r="D1062" s="4">
        <f>AVERAGE(D305:D316)</f>
        <v>30.958974999999999</v>
      </c>
      <c r="E1062" s="4">
        <f>AVERAGE(E305:E316)</f>
        <v>139.90443349256523</v>
      </c>
    </row>
    <row r="1063" spans="1:5" ht="15">
      <c r="A1063" s="3">
        <f t="shared" si="0"/>
        <v>2041</v>
      </c>
      <c r="B1063" s="4">
        <f>AVERAGE(B317:B328)</f>
        <v>24.710891666666665</v>
      </c>
      <c r="C1063" s="4">
        <f>AVERAGE(C317:C328)</f>
        <v>24.398391666666665</v>
      </c>
      <c r="D1063" s="4">
        <f>AVERAGE(D317:D328)</f>
        <v>31.680066666666672</v>
      </c>
      <c r="E1063" s="4">
        <f>AVERAGE(E317:E328)</f>
        <v>144.31142314758108</v>
      </c>
    </row>
    <row r="1064" spans="1:5" ht="15">
      <c r="A1064" s="3">
        <f t="shared" si="0"/>
        <v>2042</v>
      </c>
      <c r="B1064" s="4">
        <f>AVERAGE(B329:B340)</f>
        <v>25.49830833333333</v>
      </c>
      <c r="C1064" s="4">
        <f>AVERAGE(C329:C340)</f>
        <v>25.18580833333333</v>
      </c>
      <c r="D1064" s="4">
        <f>AVERAGE(D329:D340)</f>
        <v>32.419041666666672</v>
      </c>
      <c r="E1064" s="4">
        <f>AVERAGE(E329:E340)</f>
        <v>148.85723297672993</v>
      </c>
    </row>
    <row r="1065" spans="1:5" ht="15">
      <c r="A1065" s="3">
        <f t="shared" si="0"/>
        <v>2043</v>
      </c>
      <c r="B1065" s="4">
        <f>AVERAGE(B341:B352)</f>
        <v>26.312875000000002</v>
      </c>
      <c r="C1065" s="4">
        <f>AVERAGE(C341:C352)</f>
        <v>26.000375000000002</v>
      </c>
      <c r="D1065" s="4">
        <f>AVERAGE(D341:D352)</f>
        <v>33.176341666666666</v>
      </c>
      <c r="E1065" s="4">
        <f>AVERAGE(E341:E352)</f>
        <v>153.546235815497</v>
      </c>
    </row>
    <row r="1066" spans="1:5" ht="15">
      <c r="A1066" s="3">
        <f t="shared" si="0"/>
        <v>2044</v>
      </c>
      <c r="B1066" s="4">
        <f>AVERAGE(B353:B364)</f>
        <v>27.155550000000002</v>
      </c>
      <c r="C1066" s="4">
        <f>AVERAGE(C353:C364)</f>
        <v>26.843050000000002</v>
      </c>
      <c r="D1066" s="4">
        <f>AVERAGE(D353:D364)</f>
        <v>33.952424999999998</v>
      </c>
      <c r="E1066" s="4">
        <f>AVERAGE(E353:E364)</f>
        <v>158.38294224368528</v>
      </c>
    </row>
    <row r="1067" spans="1:5" ht="15">
      <c r="A1067" s="3">
        <f t="shared" si="0"/>
        <v>2045</v>
      </c>
      <c r="B1067" s="4">
        <f>AVERAGE(B365:B376)</f>
        <v>28.027299999999997</v>
      </c>
      <c r="C1067" s="4">
        <f>AVERAGE(C365:C376)</f>
        <v>27.714799999999997</v>
      </c>
      <c r="D1067" s="4">
        <f>AVERAGE(D365:D376)</f>
        <v>34.747766666666671</v>
      </c>
      <c r="E1067" s="4">
        <f>AVERAGE(E365:E376)</f>
        <v>163.37200492436116</v>
      </c>
    </row>
    <row r="1068" spans="1:5" ht="15">
      <c r="A1068" s="3">
        <f t="shared" si="0"/>
        <v>2046</v>
      </c>
      <c r="B1068" s="4">
        <f>AVERAGE(B377:B388)</f>
        <v>28.929124999999996</v>
      </c>
      <c r="C1068" s="4">
        <f>AVERAGE(C377:C388)</f>
        <v>28.616624999999996</v>
      </c>
      <c r="D1068" s="4">
        <f>AVERAGE(D377:D388)</f>
        <v>35.562800000000003</v>
      </c>
      <c r="E1068" s="4">
        <f>AVERAGE(E377:E388)</f>
        <v>168.51822307947847</v>
      </c>
    </row>
    <row r="1069" spans="1:5" ht="15">
      <c r="A1069" s="3">
        <f t="shared" si="0"/>
        <v>2047</v>
      </c>
      <c r="B1069" s="4">
        <f>AVERAGE(B389:B400)</f>
        <v>29.862091666666668</v>
      </c>
      <c r="C1069" s="4">
        <f>AVERAGE(C389:C400)</f>
        <v>29.549591666666668</v>
      </c>
      <c r="D1069" s="4">
        <f>AVERAGE(D389:D400)</f>
        <v>36.398066666666665</v>
      </c>
      <c r="E1069" s="4">
        <f>AVERAGE(E389:E400)</f>
        <v>173.82654710648217</v>
      </c>
    </row>
    <row r="1070" spans="1:5" ht="15">
      <c r="A1070" s="3">
        <f t="shared" si="0"/>
        <v>2048</v>
      </c>
      <c r="B1070" s="4">
        <f>AVERAGE(B401:B412)</f>
        <v>30.827200000000001</v>
      </c>
      <c r="C1070" s="4">
        <f>AVERAGE(C401:C412)</f>
        <v>30.514700000000001</v>
      </c>
      <c r="D1070" s="4">
        <f>AVERAGE(D401:D412)</f>
        <v>37.254058333333326</v>
      </c>
      <c r="E1070" s="4">
        <f>AVERAGE(E401:E412)</f>
        <v>179.30208334033617</v>
      </c>
    </row>
    <row r="1071" spans="1:5" ht="15">
      <c r="A1071" s="3">
        <f t="shared" si="0"/>
        <v>2049</v>
      </c>
      <c r="B1071" s="4">
        <f>AVERAGE(B413:B424)</f>
        <v>31.825625000000002</v>
      </c>
      <c r="C1071" s="4">
        <f>AVERAGE(C413:C424)</f>
        <v>31.513125000000002</v>
      </c>
      <c r="D1071" s="4">
        <f>AVERAGE(D413:D424)</f>
        <v>38.131266666666669</v>
      </c>
      <c r="E1071" s="4">
        <f>AVERAGE(E413:E424)</f>
        <v>184.9500989655568</v>
      </c>
    </row>
    <row r="1072" spans="1:5" ht="15">
      <c r="A1072" s="3">
        <f t="shared" si="0"/>
        <v>2050</v>
      </c>
      <c r="B1072" s="4">
        <f>AVERAGE(B425:B436)</f>
        <v>32.858483333333339</v>
      </c>
      <c r="C1072" s="4">
        <f>AVERAGE(C425:C436)</f>
        <v>32.545983333333339</v>
      </c>
      <c r="D1072" s="4">
        <f>AVERAGE(D425:D436)</f>
        <v>39.030233333333335</v>
      </c>
      <c r="E1072" s="4">
        <f>AVERAGE(E425:E436)</f>
        <v>190.77602708297198</v>
      </c>
    </row>
    <row r="1073" spans="1:5" ht="15">
      <c r="A1073" s="3">
        <f t="shared" si="0"/>
        <v>2051</v>
      </c>
      <c r="B1073" s="4">
        <f>AVERAGE(B437:B448)</f>
        <v>33.926974999999999</v>
      </c>
      <c r="C1073" s="4">
        <f>AVERAGE(C437:C448)</f>
        <v>33.614474999999999</v>
      </c>
      <c r="D1073" s="4">
        <f>AVERAGE(D437:D448)</f>
        <v>39.951474999999995</v>
      </c>
      <c r="E1073" s="4">
        <f>AVERAGE(E437:E448)</f>
        <v>196.7854719360856</v>
      </c>
    </row>
    <row r="1074" spans="1:5" ht="15">
      <c r="A1074" s="3">
        <f t="shared" si="0"/>
        <v>2052</v>
      </c>
      <c r="B1074" s="4">
        <f>AVERAGE(B449:B460)</f>
        <v>35.032366666666668</v>
      </c>
      <c r="C1074" s="4">
        <f>AVERAGE(C449:C460)</f>
        <v>34.719866666666668</v>
      </c>
      <c r="D1074" s="4">
        <f>AVERAGE(D449:D460)</f>
        <v>40.895583333333327</v>
      </c>
      <c r="E1074" s="4">
        <f>AVERAGE(E449:E460)</f>
        <v>202.98421430207244</v>
      </c>
    </row>
    <row r="1075" spans="1:5" ht="15">
      <c r="A1075" s="3">
        <f t="shared" si="0"/>
        <v>2053</v>
      </c>
      <c r="B1075" s="4">
        <f>AVERAGE(B461:B472)</f>
        <v>36.175858333333338</v>
      </c>
      <c r="C1075" s="4">
        <f>AVERAGE(C461:C472)</f>
        <v>35.863358333333338</v>
      </c>
      <c r="D1075" s="4">
        <f>AVERAGE(D461:D472)</f>
        <v>41.863116666666663</v>
      </c>
      <c r="E1075" s="4">
        <f>AVERAGE(E461:E472)</f>
        <v>209.37821705258753</v>
      </c>
    </row>
    <row r="1076" spans="1:5" ht="15">
      <c r="A1076" s="3">
        <f t="shared" si="0"/>
        <v>2054</v>
      </c>
      <c r="B1076" s="4">
        <f>AVERAGE(B473:B484)</f>
        <v>37.358799999999995</v>
      </c>
      <c r="C1076" s="4">
        <f>AVERAGE(C473:C484)</f>
        <v>37.046299999999995</v>
      </c>
      <c r="D1076" s="4">
        <f>AVERAGE(D473:D484)</f>
        <v>42.854633333333339</v>
      </c>
      <c r="E1076" s="4">
        <f>AVERAGE(E473:E484)</f>
        <v>215.97363088974407</v>
      </c>
    </row>
    <row r="1077" spans="1:5" ht="15">
      <c r="A1077" s="3">
        <f t="shared" si="0"/>
        <v>2055</v>
      </c>
      <c r="B1077" s="4">
        <f>AVERAGE(B485:B496)</f>
        <v>38.582566666666672</v>
      </c>
      <c r="C1077" s="4">
        <f>AVERAGE(C485:C496)</f>
        <v>38.270066666666672</v>
      </c>
      <c r="D1077" s="4">
        <f>AVERAGE(D485:D496)</f>
        <v>43.870741666666653</v>
      </c>
      <c r="E1077" s="4">
        <f>AVERAGE(E485:E496)</f>
        <v>222.77680026277119</v>
      </c>
    </row>
    <row r="1078" spans="1:5" ht="15">
      <c r="A1078" s="3">
        <f t="shared" si="0"/>
        <v>2056</v>
      </c>
      <c r="B1078" s="4">
        <f>AVERAGE(B497:B508)</f>
        <v>39.84855833333333</v>
      </c>
      <c r="C1078" s="4">
        <f>AVERAGE(C497:C508)</f>
        <v>39.53605833333333</v>
      </c>
      <c r="D1078" s="4">
        <f>AVERAGE(D497:D508)</f>
        <v>44.912025</v>
      </c>
      <c r="E1078" s="4">
        <f>AVERAGE(E497:E508)</f>
        <v>229.79426947104824</v>
      </c>
    </row>
    <row r="1079" spans="1:5" ht="15">
      <c r="A1079" s="3">
        <f t="shared" si="0"/>
        <v>2057</v>
      </c>
      <c r="B1079" s="4">
        <f>AVERAGE(B509:B520)</f>
        <v>41.158216666666675</v>
      </c>
      <c r="C1079" s="4">
        <f>AVERAGE(C509:C520)</f>
        <v>40.845716666666675</v>
      </c>
      <c r="D1079" s="4">
        <f>AVERAGE(D509:D520)</f>
        <v>45.979175000000005</v>
      </c>
      <c r="E1079" s="4">
        <f>AVERAGE(E509:E520)</f>
        <v>237.03278895938658</v>
      </c>
    </row>
    <row r="1080" spans="1:5" ht="15">
      <c r="A1080" s="3">
        <f t="shared" si="0"/>
        <v>2058</v>
      </c>
      <c r="B1080" s="4">
        <f>AVERAGE(B521:B532)</f>
        <v>42.513058333333333</v>
      </c>
      <c r="C1080" s="4">
        <f>AVERAGE(C521:C532)</f>
        <v>42.200558333333333</v>
      </c>
      <c r="D1080" s="4">
        <f>AVERAGE(D521:D532)</f>
        <v>47.072749999999992</v>
      </c>
      <c r="E1080" s="4">
        <f>AVERAGE(E521:E532)</f>
        <v>244.49932181160727</v>
      </c>
    </row>
    <row r="1081" spans="1:5" ht="15">
      <c r="A1081" s="3">
        <f t="shared" si="0"/>
        <v>2059</v>
      </c>
      <c r="B1081" s="4">
        <f>AVERAGE(B533:B544)</f>
        <v>43.914633333333342</v>
      </c>
      <c r="C1081" s="4">
        <f>AVERAGE(C533:C544)</f>
        <v>43.602133333333342</v>
      </c>
      <c r="D1081" s="4">
        <f>AVERAGE(D533:D544)</f>
        <v>48.193458333333325</v>
      </c>
      <c r="E1081" s="4">
        <f>AVERAGE(E533:E544)</f>
        <v>252.20105044867276</v>
      </c>
    </row>
    <row r="1082" spans="1:5" ht="15">
      <c r="A1082" s="3">
        <f t="shared" si="0"/>
        <v>2060</v>
      </c>
      <c r="B1082" s="4">
        <f>AVERAGE(B545:B556)</f>
        <v>45.364566666666668</v>
      </c>
      <c r="C1082" s="4">
        <f>AVERAGE(C545:C556)</f>
        <v>45.052066666666668</v>
      </c>
      <c r="D1082" s="4">
        <f>AVERAGE(D545:D556)</f>
        <v>49.341966666666671</v>
      </c>
      <c r="E1082" s="4">
        <f>AVERAGE(E545:E556)</f>
        <v>260.14538353780608</v>
      </c>
    </row>
    <row r="1083" spans="1:5" ht="15">
      <c r="A1083" s="3">
        <f t="shared" si="0"/>
        <v>2061</v>
      </c>
      <c r="B1083" s="4">
        <f>AVERAGE(B557:B568)</f>
        <v>46.864525000000015</v>
      </c>
      <c r="C1083" s="4">
        <f>AVERAGE(C557:C568)</f>
        <v>46.552025000000015</v>
      </c>
      <c r="D1083" s="4">
        <f>AVERAGE(D557:D568)</f>
        <v>50.518958333333337</v>
      </c>
      <c r="E1083" s="4">
        <f>AVERAGE(E557:E568)</f>
        <v>268.33996311924687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48.416233333333338</v>
      </c>
      <c r="C1084" s="4">
        <f t="shared" ca="1" si="1"/>
        <v>48.103733333333338</v>
      </c>
      <c r="D1084" s="4">
        <f t="shared" ca="1" si="1"/>
        <v>51.725125000000013</v>
      </c>
      <c r="E1084" s="4">
        <f t="shared" ca="1" si="1"/>
        <v>276.79267195750305</v>
      </c>
    </row>
    <row r="1085" spans="1:5" ht="15">
      <c r="A1085" s="3">
        <f t="shared" si="0"/>
        <v>2063</v>
      </c>
      <c r="B1085" s="4">
        <f t="shared" ca="1" si="1"/>
        <v>50.021483333333343</v>
      </c>
      <c r="C1085" s="4">
        <f t="shared" ca="1" si="1"/>
        <v>49.708983333333343</v>
      </c>
      <c r="D1085" s="4">
        <f t="shared" ca="1" si="1"/>
        <v>52.961233333333332</v>
      </c>
      <c r="E1085" s="4">
        <f t="shared" ca="1" si="1"/>
        <v>285.51164112416478</v>
      </c>
    </row>
    <row r="1086" spans="1:5" ht="15">
      <c r="A1086" s="3">
        <f t="shared" si="0"/>
        <v>2064</v>
      </c>
      <c r="B1086" s="4">
        <f t="shared" ca="1" si="1"/>
        <v>51.682125000000006</v>
      </c>
      <c r="C1086" s="4">
        <f t="shared" ca="1" si="1"/>
        <v>51.369625000000006</v>
      </c>
      <c r="D1086" s="4">
        <f t="shared" ca="1" si="1"/>
        <v>54.227983333333327</v>
      </c>
      <c r="E1086" s="4">
        <f t="shared" ca="1" si="1"/>
        <v>294.50525781957595</v>
      </c>
    </row>
    <row r="1087" spans="1:5" ht="15">
      <c r="A1087" s="3">
        <f t="shared" si="0"/>
        <v>2065</v>
      </c>
      <c r="B1087" s="4">
        <f t="shared" ca="1" si="1"/>
        <v>53.400008333333346</v>
      </c>
      <c r="C1087" s="4">
        <f t="shared" ca="1" si="1"/>
        <v>53.087508333333346</v>
      </c>
      <c r="D1087" s="4">
        <f t="shared" ca="1" si="1"/>
        <v>55.526158333333335</v>
      </c>
      <c r="E1087" s="4">
        <f t="shared" ca="1" si="1"/>
        <v>303.78217344089256</v>
      </c>
    </row>
    <row r="1088" spans="1:5" ht="15">
      <c r="A1088" s="3">
        <f t="shared" si="0"/>
        <v>2066</v>
      </c>
      <c r="B1088" s="4">
        <f t="shared" ca="1" si="1"/>
        <v>55.177225</v>
      </c>
      <c r="C1088" s="4">
        <f t="shared" ca="1" si="1"/>
        <v>54.864725</v>
      </c>
      <c r="D1088" s="4">
        <f t="shared" ca="1" si="1"/>
        <v>56.856508333333331</v>
      </c>
      <c r="E1088" s="4">
        <f t="shared" ca="1" si="1"/>
        <v>313.35131190428064</v>
      </c>
    </row>
    <row r="1089" spans="1:5" ht="15">
      <c r="A1089" s="3">
        <f t="shared" si="0"/>
        <v>2067</v>
      </c>
      <c r="B1089" s="4">
        <f t="shared" ca="1" si="1"/>
        <v>57.01571666666667</v>
      </c>
      <c r="C1089" s="4">
        <f t="shared" ca="1" si="1"/>
        <v>56.70321666666667</v>
      </c>
      <c r="D1089" s="4">
        <f t="shared" ca="1" si="1"/>
        <v>58.219850000000008</v>
      </c>
      <c r="E1089" s="4">
        <f t="shared" ca="1" si="1"/>
        <v>323.2218782292656</v>
      </c>
    </row>
    <row r="1090" spans="1:5" ht="15">
      <c r="A1090" s="3">
        <f t="shared" si="0"/>
        <v>2068</v>
      </c>
      <c r="B1090" s="4">
        <f t="shared" ca="1" si="1"/>
        <v>58.917633333333328</v>
      </c>
      <c r="C1090" s="4">
        <f t="shared" ca="1" si="1"/>
        <v>58.605133333333328</v>
      </c>
      <c r="D1090" s="4">
        <f t="shared" ca="1" si="1"/>
        <v>59.617024999999991</v>
      </c>
      <c r="E1090" s="4">
        <f t="shared" ca="1" si="1"/>
        <v>333.40336739348754</v>
      </c>
    </row>
    <row r="1091" spans="1:5" ht="15">
      <c r="A1091" s="3">
        <f t="shared" si="0"/>
        <v>2069</v>
      </c>
      <c r="B1091" s="4">
        <f t="shared" ca="1" si="1"/>
        <v>60.885191666666657</v>
      </c>
      <c r="C1091" s="4">
        <f t="shared" ca="1" si="1"/>
        <v>60.572691666666657</v>
      </c>
      <c r="D1091" s="4">
        <f t="shared" ca="1" si="1"/>
        <v>61.04881666666666</v>
      </c>
      <c r="E1091" s="4">
        <f t="shared" ca="1" si="1"/>
        <v>343.90557346638224</v>
      </c>
    </row>
    <row r="1092" spans="1:5" ht="15">
      <c r="A1092" s="3">
        <f t="shared" ref="A1092:A1122" si="2">A1091+1</f>
        <v>2070</v>
      </c>
      <c r="B1092" s="4">
        <f t="shared" ca="1" si="1"/>
        <v>62.920600000000007</v>
      </c>
      <c r="C1092" s="4">
        <f t="shared" ca="1" si="1"/>
        <v>62.608100000000007</v>
      </c>
      <c r="D1092" s="4">
        <f t="shared" ca="1" si="1"/>
        <v>62.51615833333333</v>
      </c>
      <c r="E1092" s="4">
        <f t="shared" ca="1" si="1"/>
        <v>354.7385990305732</v>
      </c>
    </row>
    <row r="1093" spans="1:5" ht="15">
      <c r="A1093" s="3">
        <f t="shared" si="2"/>
        <v>2071</v>
      </c>
      <c r="B1093" s="4">
        <f t="shared" ca="1" si="1"/>
        <v>65.026258333333331</v>
      </c>
      <c r="C1093" s="4">
        <f t="shared" ca="1" si="1"/>
        <v>64.713758333333331</v>
      </c>
      <c r="D1093" s="4">
        <f t="shared" ca="1" si="1"/>
        <v>64.019850000000005</v>
      </c>
      <c r="E1093" s="4">
        <f t="shared" ca="1" si="1"/>
        <v>365.91286490003648</v>
      </c>
    </row>
    <row r="1094" spans="1:5" ht="15">
      <c r="A1094" s="3">
        <f t="shared" si="2"/>
        <v>2072</v>
      </c>
      <c r="B1094" s="4">
        <f t="shared" ca="1" si="1"/>
        <v>67.204549999999998</v>
      </c>
      <c r="C1094" s="4">
        <f t="shared" ca="1" si="1"/>
        <v>66.892049999999998</v>
      </c>
      <c r="D1094" s="4">
        <f t="shared" ca="1" si="1"/>
        <v>65.560866666666655</v>
      </c>
      <c r="E1094" s="4">
        <f t="shared" ca="1" si="1"/>
        <v>377.43912014438769</v>
      </c>
    </row>
    <row r="1095" spans="1:5" ht="15">
      <c r="A1095" s="3">
        <f t="shared" si="2"/>
        <v>2073</v>
      </c>
      <c r="B1095" s="4">
        <f t="shared" ca="1" si="1"/>
        <v>69.45796666666665</v>
      </c>
      <c r="C1095" s="4">
        <f t="shared" ca="1" si="1"/>
        <v>69.14546666666665</v>
      </c>
      <c r="D1095" s="4">
        <f t="shared" ca="1" si="1"/>
        <v>67.140083333333337</v>
      </c>
      <c r="E1095" s="4">
        <f t="shared" ca="1" si="1"/>
        <v>389.32845242893586</v>
      </c>
    </row>
    <row r="1096" spans="1:5" ht="15">
      <c r="A1096" s="3">
        <f t="shared" si="2"/>
        <v>2074</v>
      </c>
      <c r="B1096" s="4">
        <f t="shared" ca="1" si="1"/>
        <v>71.789174999999986</v>
      </c>
      <c r="C1096" s="4">
        <f t="shared" ca="1" si="1"/>
        <v>71.476674999999986</v>
      </c>
      <c r="D1096" s="4">
        <f t="shared" ca="1" si="1"/>
        <v>68.758466666666678</v>
      </c>
      <c r="E1096" s="4">
        <f t="shared" ca="1" si="1"/>
        <v>401.59229868044753</v>
      </c>
    </row>
    <row r="1097" spans="1:5" ht="15">
      <c r="A1097" s="3">
        <f t="shared" si="2"/>
        <v>2075</v>
      </c>
      <c r="B1097" s="4">
        <f t="shared" ca="1" si="1"/>
        <v>74.200775000000007</v>
      </c>
      <c r="C1097" s="4">
        <f t="shared" ca="1" si="1"/>
        <v>73.888275000000007</v>
      </c>
      <c r="D1097" s="4">
        <f t="shared" ca="1" si="1"/>
        <v>70.416966666666667</v>
      </c>
      <c r="E1097" s="4">
        <f t="shared" ca="1" si="1"/>
        <v>414.24245608888168</v>
      </c>
    </row>
    <row r="1098" spans="1:5" ht="15">
      <c r="A1098" s="3">
        <f t="shared" si="2"/>
        <v>2076</v>
      </c>
      <c r="B1098" s="4">
        <f t="shared" ca="1" si="1"/>
        <v>76.695583333333332</v>
      </c>
      <c r="C1098" s="4">
        <f t="shared" ca="1" si="1"/>
        <v>76.383083333333332</v>
      </c>
      <c r="D1098" s="4">
        <f t="shared" ca="1" si="1"/>
        <v>72.116641666666666</v>
      </c>
      <c r="E1098" s="4">
        <f t="shared" ca="1" si="1"/>
        <v>427.29109345568151</v>
      </c>
    </row>
    <row r="1099" spans="1:5" ht="15">
      <c r="A1099" s="3">
        <f t="shared" si="2"/>
        <v>2077</v>
      </c>
      <c r="B1099" s="4">
        <f t="shared" ca="1" si="1"/>
        <v>79.276458333333323</v>
      </c>
      <c r="C1099" s="4">
        <f t="shared" ca="1" si="1"/>
        <v>78.963958333333323</v>
      </c>
      <c r="D1099" s="4">
        <f t="shared" ca="1" si="1"/>
        <v>73.858433333333338</v>
      </c>
      <c r="E1099" s="4">
        <f t="shared" ca="1" si="1"/>
        <v>440.75076289953535</v>
      </c>
    </row>
    <row r="1100" spans="1:5" ht="15">
      <c r="A1100" s="3">
        <f t="shared" si="2"/>
        <v>2078</v>
      </c>
      <c r="B1100" s="4">
        <f t="shared" ca="1" si="1"/>
        <v>81.946399999999997</v>
      </c>
      <c r="C1100" s="4">
        <f t="shared" ca="1" si="1"/>
        <v>81.633899999999997</v>
      </c>
      <c r="D1100" s="4">
        <f t="shared" ca="1" si="1"/>
        <v>75.643425000000022</v>
      </c>
      <c r="E1100" s="4">
        <f t="shared" ca="1" si="1"/>
        <v>454.63441193087101</v>
      </c>
    </row>
    <row r="1101" spans="1:5" ht="15">
      <c r="A1101" s="3">
        <f t="shared" si="2"/>
        <v>2079</v>
      </c>
      <c r="B1101" s="4">
        <f t="shared" ca="1" si="1"/>
        <v>84.708424999999991</v>
      </c>
      <c r="C1101" s="4">
        <f t="shared" ca="1" si="1"/>
        <v>84.395924999999991</v>
      </c>
      <c r="D1101" s="4">
        <f t="shared" ca="1" si="1"/>
        <v>77.472700000000003</v>
      </c>
      <c r="E1101" s="4">
        <f t="shared" ca="1" si="1"/>
        <v>468.95539590669335</v>
      </c>
    </row>
    <row r="1102" spans="1:5" ht="15">
      <c r="A1102" s="3">
        <f t="shared" si="2"/>
        <v>2080</v>
      </c>
      <c r="B1102" s="4">
        <f t="shared" ca="1" si="1"/>
        <v>87.56574999999998</v>
      </c>
      <c r="C1102" s="4">
        <f t="shared" ca="1" si="1"/>
        <v>87.25324999999998</v>
      </c>
      <c r="D1102" s="4">
        <f t="shared" ca="1" si="1"/>
        <v>79.347316666666657</v>
      </c>
      <c r="E1102" s="4">
        <f t="shared" ca="1" si="1"/>
        <v>483.72749087775429</v>
      </c>
    </row>
    <row r="1103" spans="1:5" ht="15">
      <c r="A1103" s="3">
        <f t="shared" si="2"/>
        <v>2081</v>
      </c>
      <c r="B1103" s="4">
        <f t="shared" ca="1" si="1"/>
        <v>90.521658333333335</v>
      </c>
      <c r="C1103" s="4">
        <f t="shared" ca="1" si="1"/>
        <v>90.209158333333335</v>
      </c>
      <c r="D1103" s="4">
        <f t="shared" ca="1" si="1"/>
        <v>81.268450000000001</v>
      </c>
      <c r="E1103" s="4">
        <f t="shared" ca="1" si="1"/>
        <v>498.96490684040344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93.579541666666671</v>
      </c>
      <c r="C1104" s="4">
        <f t="shared" ca="1" si="3"/>
        <v>93.267041666666671</v>
      </c>
      <c r="D1104" s="4">
        <f t="shared" ca="1" si="3"/>
        <v>83.237200000000001</v>
      </c>
      <c r="E1104" s="4">
        <f t="shared" ca="1" si="3"/>
        <v>514.68230140587605</v>
      </c>
    </row>
    <row r="1105" spans="1:5" ht="15">
      <c r="A1105" s="3">
        <f t="shared" si="2"/>
        <v>2083</v>
      </c>
      <c r="B1105" s="4">
        <f t="shared" ca="1" si="3"/>
        <v>96.742916666666659</v>
      </c>
      <c r="C1105" s="4">
        <f t="shared" ca="1" si="3"/>
        <v>96.430416666666659</v>
      </c>
      <c r="D1105" s="4">
        <f t="shared" ca="1" si="3"/>
        <v>85.254808333333344</v>
      </c>
      <c r="E1105" s="4">
        <f t="shared" ca="1" si="3"/>
        <v>530.89479390016129</v>
      </c>
    </row>
    <row r="1106" spans="1:5" ht="15">
      <c r="A1106" s="3">
        <f t="shared" si="2"/>
        <v>2084</v>
      </c>
      <c r="B1106" s="4">
        <f t="shared" ca="1" si="3"/>
        <v>100.01544166666666</v>
      </c>
      <c r="C1106" s="4">
        <f t="shared" ca="1" si="3"/>
        <v>99.702941666666661</v>
      </c>
      <c r="D1106" s="4">
        <f t="shared" ca="1" si="3"/>
        <v>87.322416666666683</v>
      </c>
      <c r="E1106" s="4">
        <f t="shared" ca="1" si="3"/>
        <v>547.61797990801631</v>
      </c>
    </row>
    <row r="1107" spans="1:5" ht="15">
      <c r="A1107" s="3">
        <f t="shared" si="2"/>
        <v>2085</v>
      </c>
      <c r="B1107" s="4">
        <f t="shared" ca="1" si="3"/>
        <v>103.40084166666664</v>
      </c>
      <c r="C1107" s="4">
        <f t="shared" ca="1" si="3"/>
        <v>103.08834166666664</v>
      </c>
      <c r="D1107" s="4">
        <f t="shared" ca="1" si="3"/>
        <v>89.441341666666688</v>
      </c>
      <c r="E1107" s="4">
        <f t="shared" ca="1" si="3"/>
        <v>564.86794627511904</v>
      </c>
    </row>
    <row r="1108" spans="1:5" ht="15">
      <c r="A1108" s="3">
        <f t="shared" si="2"/>
        <v>2086</v>
      </c>
      <c r="B1108" s="4">
        <f t="shared" ca="1" si="3"/>
        <v>106.90304166666665</v>
      </c>
      <c r="C1108" s="4">
        <f t="shared" ca="1" si="3"/>
        <v>106.59054166666665</v>
      </c>
      <c r="D1108" s="4">
        <f t="shared" ca="1" si="3"/>
        <v>91.612774999999999</v>
      </c>
      <c r="E1108" s="4">
        <f t="shared" ca="1" si="3"/>
        <v>582.66128658278535</v>
      </c>
    </row>
    <row r="1109" spans="1:5" ht="15">
      <c r="A1109" s="3">
        <f t="shared" si="2"/>
        <v>2087</v>
      </c>
      <c r="B1109" s="4">
        <f t="shared" ca="1" si="3"/>
        <v>110.52609999999999</v>
      </c>
      <c r="C1109" s="4">
        <f t="shared" ca="1" si="3"/>
        <v>110.21359999999999</v>
      </c>
      <c r="D1109" s="4">
        <f t="shared" ca="1" si="3"/>
        <v>93.838108333333352</v>
      </c>
      <c r="E1109" s="4">
        <f t="shared" ca="1" si="3"/>
        <v>601.01511711014325</v>
      </c>
    </row>
    <row r="1110" spans="1:5" ht="15">
      <c r="A1110" s="3">
        <f t="shared" si="2"/>
        <v>2088</v>
      </c>
      <c r="B1110" s="4">
        <f t="shared" ca="1" si="3"/>
        <v>114.27413333333332</v>
      </c>
      <c r="C1110" s="4">
        <f t="shared" ca="1" si="3"/>
        <v>113.96163333333332</v>
      </c>
      <c r="D1110" s="4">
        <f t="shared" ca="1" si="3"/>
        <v>96.118583333333348</v>
      </c>
      <c r="E1110" s="4">
        <f t="shared" ca="1" si="3"/>
        <v>619.94709329911279</v>
      </c>
    </row>
    <row r="1111" spans="1:5" ht="15">
      <c r="A1111" s="3">
        <f t="shared" si="2"/>
        <v>2089</v>
      </c>
      <c r="B1111" s="4">
        <f t="shared" ca="1" si="3"/>
        <v>118.15146666666665</v>
      </c>
      <c r="C1111" s="4">
        <f t="shared" ca="1" si="3"/>
        <v>117.83896666666665</v>
      </c>
      <c r="D1111" s="4">
        <f t="shared" ca="1" si="3"/>
        <v>98.455650000000006</v>
      </c>
      <c r="E1111" s="4">
        <f t="shared" ca="1" si="3"/>
        <v>639.47542673803491</v>
      </c>
    </row>
    <row r="1112" spans="1:5" ht="15">
      <c r="A1112" s="3">
        <f t="shared" si="2"/>
        <v>2090</v>
      </c>
      <c r="B1112" s="4">
        <f t="shared" ca="1" si="3"/>
        <v>122.16257499999999</v>
      </c>
      <c r="C1112" s="4">
        <f t="shared" ca="1" si="3"/>
        <v>121.85007499999999</v>
      </c>
      <c r="D1112" s="4">
        <f t="shared" ca="1" si="3"/>
        <v>100.85064166666668</v>
      </c>
      <c r="E1112" s="4">
        <f t="shared" ca="1" si="3"/>
        <v>659.61890268028299</v>
      </c>
    </row>
    <row r="1113" spans="1:5" ht="15">
      <c r="A1113" s="3">
        <f t="shared" si="2"/>
        <v>2091</v>
      </c>
      <c r="B1113" s="4">
        <f t="shared" ca="1" si="3"/>
        <v>126.31207499999999</v>
      </c>
      <c r="C1113" s="4">
        <f t="shared" ca="1" si="3"/>
        <v>125.99957499999999</v>
      </c>
      <c r="D1113" s="4">
        <f t="shared" ca="1" si="3"/>
        <v>103.30505833333335</v>
      </c>
      <c r="E1113" s="4">
        <f t="shared" ca="1" si="3"/>
        <v>680.39689811471192</v>
      </c>
    </row>
    <row r="1114" spans="1:5" ht="15">
      <c r="A1114" s="3">
        <f t="shared" si="2"/>
        <v>2092</v>
      </c>
      <c r="B1114" s="4">
        <f t="shared" ca="1" si="3"/>
        <v>130.604725</v>
      </c>
      <c r="C1114" s="4">
        <f t="shared" ca="1" si="3"/>
        <v>130.292225</v>
      </c>
      <c r="D1114" s="4">
        <f t="shared" ca="1" si="3"/>
        <v>105.82034166666666</v>
      </c>
      <c r="E1114" s="4">
        <f t="shared" ca="1" si="3"/>
        <v>701.82940040532537</v>
      </c>
    </row>
    <row r="1115" spans="1:5" ht="15">
      <c r="A1115" s="3">
        <f t="shared" si="2"/>
        <v>2093</v>
      </c>
      <c r="B1115" s="4">
        <f t="shared" ca="1" si="3"/>
        <v>135.04547500000001</v>
      </c>
      <c r="C1115" s="4">
        <f t="shared" ca="1" si="3"/>
        <v>134.73297500000001</v>
      </c>
      <c r="D1115" s="4">
        <f t="shared" ca="1" si="3"/>
        <v>108.39798333333333</v>
      </c>
      <c r="E1115" s="4">
        <f t="shared" ca="1" si="3"/>
        <v>723.93702651809326</v>
      </c>
    </row>
    <row r="1116" spans="1:5" ht="15">
      <c r="A1116" s="3">
        <f t="shared" si="2"/>
        <v>2094</v>
      </c>
      <c r="B1116" s="4">
        <f t="shared" ca="1" si="3"/>
        <v>139.63942500000002</v>
      </c>
      <c r="C1116" s="4">
        <f t="shared" ca="1" si="3"/>
        <v>139.32692500000002</v>
      </c>
      <c r="D1116" s="4">
        <f t="shared" ca="1" si="3"/>
        <v>111.03955833333333</v>
      </c>
      <c r="E1116" s="4">
        <f t="shared" ca="1" si="3"/>
        <v>746.74104285341309</v>
      </c>
    </row>
    <row r="1117" spans="1:5" ht="15">
      <c r="A1117" s="3">
        <f t="shared" si="2"/>
        <v>2095</v>
      </c>
      <c r="B1117" s="4">
        <f t="shared" ca="1" si="3"/>
        <v>144.391875</v>
      </c>
      <c r="C1117" s="4">
        <f t="shared" ca="1" si="3"/>
        <v>144.079375</v>
      </c>
      <c r="D1117" s="4">
        <f t="shared" ca="1" si="3"/>
        <v>113.74665</v>
      </c>
      <c r="E1117" s="4">
        <f t="shared" ca="1" si="3"/>
        <v>770.26338570329563</v>
      </c>
    </row>
    <row r="1118" spans="1:5" ht="15">
      <c r="A1118" s="3">
        <f t="shared" si="2"/>
        <v>2096</v>
      </c>
      <c r="B1118" s="4">
        <f t="shared" ca="1" si="3"/>
        <v>149.3082666666667</v>
      </c>
      <c r="C1118" s="4">
        <f t="shared" ca="1" si="3"/>
        <v>148.9957666666667</v>
      </c>
      <c r="D1118" s="4">
        <f t="shared" ca="1" si="3"/>
        <v>116.520875</v>
      </c>
      <c r="E1118" s="4">
        <f t="shared" ca="1" si="3"/>
        <v>794.52668235294948</v>
      </c>
    </row>
    <row r="1119" spans="1:5" ht="15">
      <c r="A1119" s="3">
        <f t="shared" si="2"/>
        <v>2097</v>
      </c>
      <c r="B1119" s="4">
        <f t="shared" ca="1" si="3"/>
        <v>154.39427500000002</v>
      </c>
      <c r="C1119" s="4">
        <f t="shared" ca="1" si="3"/>
        <v>154.08177500000002</v>
      </c>
      <c r="D1119" s="4">
        <f t="shared" ca="1" si="3"/>
        <v>119.36392499999999</v>
      </c>
      <c r="E1119" s="4">
        <f t="shared" ca="1" si="3"/>
        <v>819.55427284706741</v>
      </c>
    </row>
    <row r="1120" spans="1:5" ht="15">
      <c r="A1120" s="3">
        <f t="shared" si="2"/>
        <v>2098</v>
      </c>
      <c r="B1120" s="4">
        <f t="shared" ca="1" si="3"/>
        <v>159.65577500000003</v>
      </c>
      <c r="C1120" s="4">
        <f t="shared" ca="1" si="3"/>
        <v>159.34327500000003</v>
      </c>
      <c r="D1120" s="4">
        <f t="shared" ca="1" si="3"/>
        <v>122.27742499999999</v>
      </c>
      <c r="E1120" s="4">
        <f t="shared" ca="1" si="3"/>
        <v>845.37023244175009</v>
      </c>
    </row>
    <row r="1121" spans="1:5" ht="15">
      <c r="A1121" s="3">
        <f t="shared" si="2"/>
        <v>2099</v>
      </c>
      <c r="B1121" s="4">
        <f t="shared" ca="1" si="3"/>
        <v>165.09876666666668</v>
      </c>
      <c r="C1121" s="4">
        <f t="shared" ca="1" si="3"/>
        <v>164.78626666666668</v>
      </c>
      <c r="D1121" s="4">
        <f t="shared" ca="1" si="3"/>
        <v>125.26322499999999</v>
      </c>
      <c r="E1121" s="4">
        <f t="shared" ca="1" si="3"/>
        <v>871.99939476366524</v>
      </c>
    </row>
    <row r="1122" spans="1:5" ht="15">
      <c r="A1122" s="3">
        <f t="shared" si="2"/>
        <v>2100</v>
      </c>
      <c r="B1122" s="4">
        <f t="shared" ca="1" si="3"/>
        <v>170.72958333333338</v>
      </c>
      <c r="C1122" s="4">
        <f t="shared" ca="1" si="3"/>
        <v>170.41708333333335</v>
      </c>
      <c r="D1122" s="4">
        <f t="shared" ca="1" si="3"/>
        <v>128.32305833333331</v>
      </c>
      <c r="E1122" s="4">
        <f t="shared" ca="1" si="3"/>
        <v>899.4673756987205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zoomScaleNormal="70" workbookViewId="0">
      <pane xSplit="1" ySplit="16" topLeftCell="B17" activePane="bottomRight" state="frozen"/>
      <selection activeCell="G13" sqref="G13"/>
      <selection pane="topRight" activeCell="G13" sqref="G13"/>
      <selection pane="bottomLeft" activeCell="G13" sqref="G13"/>
      <selection pane="bottomRight" activeCell="A6" sqref="A6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69</v>
      </c>
    </row>
    <row r="6" spans="1:15" ht="15.75">
      <c r="A6" s="81" t="s">
        <v>73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</f>
        <v>0.86</v>
      </c>
      <c r="D13" s="70" t="s">
        <v>23</v>
      </c>
      <c r="E13" s="69">
        <f>1+0.14</f>
        <v>1.1400000000000001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2.3101 * CHOOSE(CONTROL!$C$22, $C$13, 100%, $E$13)</f>
        <v>2.3100999999999998</v>
      </c>
      <c r="C17" s="60">
        <f>2.3101 * CHOOSE(CONTROL!$C$22, $C$13, 100%, $E$13)</f>
        <v>2.3100999999999998</v>
      </c>
      <c r="D17" s="60">
        <f>2.3289 * CHOOSE(CONTROL!$C$22, $C$13, 100%, $E$13)</f>
        <v>2.3289</v>
      </c>
      <c r="E17" s="61">
        <f>2.073 * CHOOSE(CONTROL!$C$22, $C$13, 100%, $E$13)</f>
        <v>2.073</v>
      </c>
      <c r="F17" s="61">
        <f>2.073 * CHOOSE(CONTROL!$C$22, $C$13, 100%, $E$13)</f>
        <v>2.073</v>
      </c>
      <c r="G17" s="61">
        <f>2.0732 * CHOOSE(CONTROL!$C$22, $C$13, 100%, $E$13)</f>
        <v>2.0731999999999999</v>
      </c>
      <c r="H17" s="61">
        <f>5.16* CHOOSE(CONTROL!$C$22, $C$13, 100%, $E$13)</f>
        <v>5.16</v>
      </c>
      <c r="I17" s="61">
        <f>5.1602 * CHOOSE(CONTROL!$C$22, $C$13, 100%, $E$13)</f>
        <v>5.1601999999999997</v>
      </c>
      <c r="J17" s="61">
        <f>2.073 * CHOOSE(CONTROL!$C$22, $C$13, 100%, $E$13)</f>
        <v>2.073</v>
      </c>
      <c r="K17" s="61">
        <f>2.0732 * CHOOSE(CONTROL!$C$22, $C$13, 100%, $E$13)</f>
        <v>2.0731999999999999</v>
      </c>
      <c r="L17" s="4"/>
      <c r="M17" s="61"/>
      <c r="N17" s="61"/>
    </row>
    <row r="18" spans="1:14" ht="15">
      <c r="A18" s="13">
        <v>42401</v>
      </c>
      <c r="B18" s="60">
        <f>2.2919 * CHOOSE(CONTROL!$C$22, $C$13, 100%, $E$13)</f>
        <v>2.2919</v>
      </c>
      <c r="C18" s="60">
        <f>2.2919 * CHOOSE(CONTROL!$C$22, $C$13, 100%, $E$13)</f>
        <v>2.2919</v>
      </c>
      <c r="D18" s="60">
        <f>2.3107 * CHOOSE(CONTROL!$C$22, $C$13, 100%, $E$13)</f>
        <v>2.3107000000000002</v>
      </c>
      <c r="E18" s="61">
        <f>3.2937 * CHOOSE(CONTROL!$C$22, $C$13, 100%, $E$13)</f>
        <v>3.2936999999999999</v>
      </c>
      <c r="F18" s="61">
        <f>2.073 * CHOOSE(CONTROL!$C$22, $C$13, 100%, $E$13)</f>
        <v>2.073</v>
      </c>
      <c r="G18" s="61">
        <f>2.0732 * CHOOSE(CONTROL!$C$22, $C$13, 100%, $E$13)</f>
        <v>2.0731999999999999</v>
      </c>
      <c r="H18" s="61">
        <f>5.1708* CHOOSE(CONTROL!$C$22, $C$13, 100%, $E$13)</f>
        <v>5.1707999999999998</v>
      </c>
      <c r="I18" s="61">
        <f>5.1709 * CHOOSE(CONTROL!$C$22, $C$13, 100%, $E$13)</f>
        <v>5.1708999999999996</v>
      </c>
      <c r="J18" s="61">
        <f>3.2937 * CHOOSE(CONTROL!$C$22, $C$13, 100%, $E$13)</f>
        <v>3.2936999999999999</v>
      </c>
      <c r="K18" s="61">
        <f>3.2939 * CHOOSE(CONTROL!$C$22, $C$13, 100%, $E$13)</f>
        <v>3.2938999999999998</v>
      </c>
      <c r="L18" s="4"/>
      <c r="M18" s="61"/>
      <c r="N18" s="61"/>
    </row>
    <row r="19" spans="1:14" ht="15">
      <c r="A19" s="13">
        <v>42430</v>
      </c>
      <c r="B19" s="60">
        <f>2.2949 * CHOOSE(CONTROL!$C$22, $C$13, 100%, $E$13)</f>
        <v>2.2949000000000002</v>
      </c>
      <c r="C19" s="60">
        <f>2.2949 * CHOOSE(CONTROL!$C$22, $C$13, 100%, $E$13)</f>
        <v>2.2949000000000002</v>
      </c>
      <c r="D19" s="60">
        <f>2.3137 * CHOOSE(CONTROL!$C$22, $C$13, 100%, $E$13)</f>
        <v>2.3136999999999999</v>
      </c>
      <c r="E19" s="61">
        <f>3.2105 * CHOOSE(CONTROL!$C$22, $C$13, 100%, $E$13)</f>
        <v>3.2105000000000001</v>
      </c>
      <c r="F19" s="61">
        <f>2.073 * CHOOSE(CONTROL!$C$22, $C$13, 100%, $E$13)</f>
        <v>2.073</v>
      </c>
      <c r="G19" s="61">
        <f>2.0732 * CHOOSE(CONTROL!$C$22, $C$13, 100%, $E$13)</f>
        <v>2.0731999999999999</v>
      </c>
      <c r="H19" s="61">
        <f>5.1815* CHOOSE(CONTROL!$C$22, $C$13, 100%, $E$13)</f>
        <v>5.1814999999999998</v>
      </c>
      <c r="I19" s="61">
        <f>5.1817 * CHOOSE(CONTROL!$C$22, $C$13, 100%, $E$13)</f>
        <v>5.1817000000000002</v>
      </c>
      <c r="J19" s="61">
        <f>3.2105 * CHOOSE(CONTROL!$C$22, $C$13, 100%, $E$13)</f>
        <v>3.2105000000000001</v>
      </c>
      <c r="K19" s="61">
        <f>3.2107 * CHOOSE(CONTROL!$C$22, $C$13, 100%, $E$13)</f>
        <v>3.2107000000000001</v>
      </c>
      <c r="L19" s="4"/>
      <c r="M19" s="61"/>
      <c r="N19" s="61"/>
    </row>
    <row r="20" spans="1:14" ht="15">
      <c r="A20" s="13">
        <v>42461</v>
      </c>
      <c r="B20" s="60">
        <f>2.2787 * CHOOSE(CONTROL!$C$22, $C$13, 100%, $E$13)</f>
        <v>2.2787000000000002</v>
      </c>
      <c r="C20" s="60">
        <f>2.2787 * CHOOSE(CONTROL!$C$22, $C$13, 100%, $E$13)</f>
        <v>2.2787000000000002</v>
      </c>
      <c r="D20" s="60">
        <f>2.2975 * CHOOSE(CONTROL!$C$22, $C$13, 100%, $E$13)</f>
        <v>2.2974999999999999</v>
      </c>
      <c r="E20" s="61">
        <f>2.9965 * CHOOSE(CONTROL!$C$22, $C$13, 100%, $E$13)</f>
        <v>2.9965000000000002</v>
      </c>
      <c r="F20" s="61">
        <f>2.049 * CHOOSE(CONTROL!$C$22, $C$13, 100%, $E$13)</f>
        <v>2.0489999999999999</v>
      </c>
      <c r="G20" s="61">
        <f>2.0492 * CHOOSE(CONTROL!$C$22, $C$13, 100%, $E$13)</f>
        <v>2.0491999999999999</v>
      </c>
      <c r="H20" s="61">
        <f>5.1923* CHOOSE(CONTROL!$C$22, $C$13, 100%, $E$13)</f>
        <v>5.1923000000000004</v>
      </c>
      <c r="I20" s="61">
        <f>5.1925 * CHOOSE(CONTROL!$C$22, $C$13, 100%, $E$13)</f>
        <v>5.1924999999999999</v>
      </c>
      <c r="J20" s="61">
        <f>2.9965 * CHOOSE(CONTROL!$C$22, $C$13, 100%, $E$13)</f>
        <v>2.9965000000000002</v>
      </c>
      <c r="K20" s="61">
        <f>2.9966 * CHOOSE(CONTROL!$C$22, $C$13, 100%, $E$13)</f>
        <v>2.9965999999999999</v>
      </c>
      <c r="L20" s="4"/>
      <c r="M20" s="61"/>
      <c r="N20" s="61"/>
    </row>
    <row r="21" spans="1:14" ht="15">
      <c r="A21" s="13">
        <v>42491</v>
      </c>
      <c r="B21" s="60">
        <f>2.2696 * CHOOSE(CONTROL!$C$22, $C$13, 100%, $E$13)</f>
        <v>2.2696000000000001</v>
      </c>
      <c r="C21" s="60">
        <f>2.2696 * CHOOSE(CONTROL!$C$22, $C$13, 100%, $E$13)</f>
        <v>2.2696000000000001</v>
      </c>
      <c r="D21" s="60">
        <f>2.3072 * CHOOSE(CONTROL!$C$22, $C$13, 100%, $E$13)</f>
        <v>2.3071999999999999</v>
      </c>
      <c r="E21" s="61">
        <f>3.1407 * CHOOSE(CONTROL!$C$22, $C$13, 100%, $E$13)</f>
        <v>3.1406999999999998</v>
      </c>
      <c r="F21" s="61">
        <f>2.049 * CHOOSE(CONTROL!$C$22, $C$13, 100%, $E$13)</f>
        <v>2.0489999999999999</v>
      </c>
      <c r="G21" s="61">
        <f>2.0513 * CHOOSE(CONTROL!$C$22, $C$13, 100%, $E$13)</f>
        <v>2.0512999999999999</v>
      </c>
      <c r="H21" s="61">
        <f>5.2031* CHOOSE(CONTROL!$C$22, $C$13, 100%, $E$13)</f>
        <v>5.2031000000000001</v>
      </c>
      <c r="I21" s="61">
        <f>5.2054 * CHOOSE(CONTROL!$C$22, $C$13, 100%, $E$13)</f>
        <v>5.2054</v>
      </c>
      <c r="J21" s="61">
        <f>3.1407 * CHOOSE(CONTROL!$C$22, $C$13, 100%, $E$13)</f>
        <v>3.1406999999999998</v>
      </c>
      <c r="K21" s="61">
        <f>3.143 * CHOOSE(CONTROL!$C$22, $C$13, 100%, $E$13)</f>
        <v>3.1429999999999998</v>
      </c>
      <c r="L21" s="4"/>
      <c r="M21" s="61"/>
      <c r="N21" s="61"/>
    </row>
    <row r="22" spans="1:14" ht="15">
      <c r="A22" s="13">
        <v>42522</v>
      </c>
      <c r="B22" s="60">
        <f>2.2787 * CHOOSE(CONTROL!$C$22, $C$13, 100%, $E$13)</f>
        <v>2.2787000000000002</v>
      </c>
      <c r="C22" s="60">
        <f>2.2787 * CHOOSE(CONTROL!$C$22, $C$13, 100%, $E$13)</f>
        <v>2.2787000000000002</v>
      </c>
      <c r="D22" s="60">
        <f>2.3163 * CHOOSE(CONTROL!$C$22, $C$13, 100%, $E$13)</f>
        <v>2.3163</v>
      </c>
      <c r="E22" s="61">
        <f>2.7508 * CHOOSE(CONTROL!$C$22, $C$13, 100%, $E$13)</f>
        <v>2.7507999999999999</v>
      </c>
      <c r="F22" s="61">
        <f>2.049 * CHOOSE(CONTROL!$C$22, $C$13, 100%, $E$13)</f>
        <v>2.0489999999999999</v>
      </c>
      <c r="G22" s="61">
        <f>2.0513 * CHOOSE(CONTROL!$C$22, $C$13, 100%, $E$13)</f>
        <v>2.0512999999999999</v>
      </c>
      <c r="H22" s="61">
        <f>5.214* CHOOSE(CONTROL!$C$22, $C$13, 100%, $E$13)</f>
        <v>5.2140000000000004</v>
      </c>
      <c r="I22" s="61">
        <f>5.2163 * CHOOSE(CONTROL!$C$22, $C$13, 100%, $E$13)</f>
        <v>5.2163000000000004</v>
      </c>
      <c r="J22" s="61">
        <f>2.7508 * CHOOSE(CONTROL!$C$22, $C$13, 100%, $E$13)</f>
        <v>2.7507999999999999</v>
      </c>
      <c r="K22" s="61">
        <f>2.7531 * CHOOSE(CONTROL!$C$22, $C$13, 100%, $E$13)</f>
        <v>2.7530999999999999</v>
      </c>
      <c r="L22" s="4"/>
      <c r="M22" s="61"/>
      <c r="N22" s="61"/>
    </row>
    <row r="23" spans="1:14" ht="15">
      <c r="A23" s="13">
        <v>42552</v>
      </c>
      <c r="B23" s="60">
        <f>2.3547 * CHOOSE(CONTROL!$C$22, $C$13, 100%, $E$13)</f>
        <v>2.3546999999999998</v>
      </c>
      <c r="C23" s="60">
        <f>2.3547 * CHOOSE(CONTROL!$C$22, $C$13, 100%, $E$13)</f>
        <v>2.3546999999999998</v>
      </c>
      <c r="D23" s="60">
        <f>2.3923 * CHOOSE(CONTROL!$C$22, $C$13, 100%, $E$13)</f>
        <v>2.3923000000000001</v>
      </c>
      <c r="E23" s="61">
        <f>2.9653 * CHOOSE(CONTROL!$C$22, $C$13, 100%, $E$13)</f>
        <v>2.9653</v>
      </c>
      <c r="F23" s="61">
        <f>2.035 * CHOOSE(CONTROL!$C$22, $C$13, 100%, $E$13)</f>
        <v>2.0350000000000001</v>
      </c>
      <c r="G23" s="61">
        <f>2.0373 * CHOOSE(CONTROL!$C$22, $C$13, 100%, $E$13)</f>
        <v>2.0373000000000001</v>
      </c>
      <c r="H23" s="61">
        <f>5.2248* CHOOSE(CONTROL!$C$22, $C$13, 100%, $E$13)</f>
        <v>5.2248000000000001</v>
      </c>
      <c r="I23" s="61">
        <f>5.2272 * CHOOSE(CONTROL!$C$22, $C$13, 100%, $E$13)</f>
        <v>5.2271999999999998</v>
      </c>
      <c r="J23" s="61">
        <f>2.9653 * CHOOSE(CONTROL!$C$22, $C$13, 100%, $E$13)</f>
        <v>2.9653</v>
      </c>
      <c r="K23" s="61">
        <f>2.9676 * CHOOSE(CONTROL!$C$22, $C$13, 100%, $E$13)</f>
        <v>2.9676</v>
      </c>
      <c r="L23" s="4"/>
      <c r="M23" s="4"/>
      <c r="N23" s="4"/>
    </row>
    <row r="24" spans="1:14" ht="15">
      <c r="A24" s="13">
        <v>42583</v>
      </c>
      <c r="B24" s="60">
        <f>2.3759 * CHOOSE(CONTROL!$C$22, $C$13, 100%, $E$13)</f>
        <v>2.3759000000000001</v>
      </c>
      <c r="C24" s="60">
        <f>2.3759 * CHOOSE(CONTROL!$C$22, $C$13, 100%, $E$13)</f>
        <v>2.3759000000000001</v>
      </c>
      <c r="D24" s="60">
        <f>2.4136 * CHOOSE(CONTROL!$C$22, $C$13, 100%, $E$13)</f>
        <v>2.4136000000000002</v>
      </c>
      <c r="E24" s="61">
        <f>3.2103 * CHOOSE(CONTROL!$C$22, $C$13, 100%, $E$13)</f>
        <v>3.2103000000000002</v>
      </c>
      <c r="F24" s="61">
        <f>2.035 * CHOOSE(CONTROL!$C$22, $C$13, 100%, $E$13)</f>
        <v>2.0350000000000001</v>
      </c>
      <c r="G24" s="61">
        <f>2.0373 * CHOOSE(CONTROL!$C$22, $C$13, 100%, $E$13)</f>
        <v>2.0373000000000001</v>
      </c>
      <c r="H24" s="61">
        <f>5.2357* CHOOSE(CONTROL!$C$22, $C$13, 100%, $E$13)</f>
        <v>5.2356999999999996</v>
      </c>
      <c r="I24" s="61">
        <f>5.238 * CHOOSE(CONTROL!$C$22, $C$13, 100%, $E$13)</f>
        <v>5.2380000000000004</v>
      </c>
      <c r="J24" s="61">
        <f>3.2103 * CHOOSE(CONTROL!$C$22, $C$13, 100%, $E$13)</f>
        <v>3.2103000000000002</v>
      </c>
      <c r="K24" s="61">
        <f>3.2126 * CHOOSE(CONTROL!$C$22, $C$13, 100%, $E$13)</f>
        <v>3.2126000000000001</v>
      </c>
      <c r="L24" s="4"/>
      <c r="M24" s="4"/>
      <c r="N24" s="4"/>
    </row>
    <row r="25" spans="1:14" ht="15">
      <c r="A25" s="13">
        <v>42614</v>
      </c>
      <c r="B25" s="60">
        <f>2.3638 * CHOOSE(CONTROL!$C$22, $C$13, 100%, $E$13)</f>
        <v>2.3637999999999999</v>
      </c>
      <c r="C25" s="60">
        <f>2.3638 * CHOOSE(CONTROL!$C$22, $C$13, 100%, $E$13)</f>
        <v>2.3637999999999999</v>
      </c>
      <c r="D25" s="60">
        <f>2.4014 * CHOOSE(CONTROL!$C$22, $C$13, 100%, $E$13)</f>
        <v>2.4014000000000002</v>
      </c>
      <c r="E25" s="61">
        <f>3.139 * CHOOSE(CONTROL!$C$22, $C$13, 100%, $E$13)</f>
        <v>3.1389999999999998</v>
      </c>
      <c r="F25" s="61">
        <f>2.035 * CHOOSE(CONTROL!$C$22, $C$13, 100%, $E$13)</f>
        <v>2.0350000000000001</v>
      </c>
      <c r="G25" s="61">
        <f>2.0373 * CHOOSE(CONTROL!$C$22, $C$13, 100%, $E$13)</f>
        <v>2.0373000000000001</v>
      </c>
      <c r="H25" s="61">
        <f>5.2466* CHOOSE(CONTROL!$C$22, $C$13, 100%, $E$13)</f>
        <v>5.2465999999999999</v>
      </c>
      <c r="I25" s="61">
        <f>5.2489 * CHOOSE(CONTROL!$C$22, $C$13, 100%, $E$13)</f>
        <v>5.2488999999999999</v>
      </c>
      <c r="J25" s="61">
        <f>3.139 * CHOOSE(CONTROL!$C$22, $C$13, 100%, $E$13)</f>
        <v>3.1389999999999998</v>
      </c>
      <c r="K25" s="61">
        <f>3.1413 * CHOOSE(CONTROL!$C$22, $C$13, 100%, $E$13)</f>
        <v>3.1413000000000002</v>
      </c>
      <c r="L25" s="4"/>
      <c r="M25" s="4"/>
      <c r="N25" s="4"/>
    </row>
    <row r="26" spans="1:14" ht="15">
      <c r="A26" s="13">
        <v>42644</v>
      </c>
      <c r="B26" s="60">
        <f>2.3759 * CHOOSE(CONTROL!$C$22, $C$13, 100%, $E$13)</f>
        <v>2.3759000000000001</v>
      </c>
      <c r="C26" s="60">
        <f>2.3759 * CHOOSE(CONTROL!$C$22, $C$13, 100%, $E$13)</f>
        <v>2.3759000000000001</v>
      </c>
      <c r="D26" s="60">
        <f>2.3947 * CHOOSE(CONTROL!$C$22, $C$13, 100%, $E$13)</f>
        <v>2.3946999999999998</v>
      </c>
      <c r="E26" s="61">
        <f>3.139 * CHOOSE(CONTROL!$C$22, $C$13, 100%, $E$13)</f>
        <v>3.1389999999999998</v>
      </c>
      <c r="F26" s="61">
        <f>2.035 * CHOOSE(CONTROL!$C$22, $C$13, 100%, $E$13)</f>
        <v>2.0350000000000001</v>
      </c>
      <c r="G26" s="61">
        <f>2.0352 * CHOOSE(CONTROL!$C$22, $C$13, 100%, $E$13)</f>
        <v>2.0352000000000001</v>
      </c>
      <c r="H26" s="61">
        <f>5.2576* CHOOSE(CONTROL!$C$22, $C$13, 100%, $E$13)</f>
        <v>5.2576000000000001</v>
      </c>
      <c r="I26" s="61">
        <f>5.2577 * CHOOSE(CONTROL!$C$22, $C$13, 100%, $E$13)</f>
        <v>5.2576999999999998</v>
      </c>
      <c r="J26" s="61">
        <f>3.139 * CHOOSE(CONTROL!$C$22, $C$13, 100%, $E$13)</f>
        <v>3.1389999999999998</v>
      </c>
      <c r="K26" s="61">
        <f>3.1392 * CHOOSE(CONTROL!$C$22, $C$13, 100%, $E$13)</f>
        <v>3.1392000000000002</v>
      </c>
      <c r="L26" s="4"/>
      <c r="M26" s="4"/>
      <c r="N26" s="4"/>
    </row>
    <row r="27" spans="1:14" ht="15">
      <c r="A27" s="13">
        <v>42675</v>
      </c>
      <c r="B27" s="60">
        <f>2.3911 * CHOOSE(CONTROL!$C$22, $C$13, 100%, $E$13)</f>
        <v>2.3910999999999998</v>
      </c>
      <c r="C27" s="60">
        <f>2.3911 * CHOOSE(CONTROL!$C$22, $C$13, 100%, $E$13)</f>
        <v>2.3910999999999998</v>
      </c>
      <c r="D27" s="60">
        <f>2.4099 * CHOOSE(CONTROL!$C$22, $C$13, 100%, $E$13)</f>
        <v>2.4098999999999999</v>
      </c>
      <c r="E27" s="61">
        <f>3.0263 * CHOOSE(CONTROL!$C$22, $C$13, 100%, $E$13)</f>
        <v>3.0263</v>
      </c>
      <c r="F27" s="61">
        <f>2.05 * CHOOSE(CONTROL!$C$22, $C$13, 100%, $E$13)</f>
        <v>2.0499999999999998</v>
      </c>
      <c r="G27" s="61">
        <f>2.0502 * CHOOSE(CONTROL!$C$22, $C$13, 100%, $E$13)</f>
        <v>2.0501999999999998</v>
      </c>
      <c r="H27" s="61">
        <f>5.2685* CHOOSE(CONTROL!$C$22, $C$13, 100%, $E$13)</f>
        <v>5.2685000000000004</v>
      </c>
      <c r="I27" s="61">
        <f>5.2687 * CHOOSE(CONTROL!$C$22, $C$13, 100%, $E$13)</f>
        <v>5.2686999999999999</v>
      </c>
      <c r="J27" s="61">
        <f>3.0263 * CHOOSE(CONTROL!$C$22, $C$13, 100%, $E$13)</f>
        <v>3.0263</v>
      </c>
      <c r="K27" s="61">
        <f>3.0265 * CHOOSE(CONTROL!$C$22, $C$13, 100%, $E$13)</f>
        <v>3.0265</v>
      </c>
      <c r="L27" s="4"/>
      <c r="M27" s="4"/>
      <c r="N27" s="4"/>
    </row>
    <row r="28" spans="1:14" ht="15">
      <c r="A28" s="13">
        <v>42705</v>
      </c>
      <c r="B28" s="60">
        <f>2.4063 * CHOOSE(CONTROL!$C$22, $C$13, 100%, $E$13)</f>
        <v>2.4062999999999999</v>
      </c>
      <c r="C28" s="60">
        <f>2.4063 * CHOOSE(CONTROL!$C$22, $C$13, 100%, $E$13)</f>
        <v>2.4062999999999999</v>
      </c>
      <c r="D28" s="60">
        <f>2.4251 * CHOOSE(CONTROL!$C$22, $C$13, 100%, $E$13)</f>
        <v>2.4251</v>
      </c>
      <c r="E28" s="61">
        <f>3.0678 * CHOOSE(CONTROL!$C$22, $C$13, 100%, $E$13)</f>
        <v>3.0678000000000001</v>
      </c>
      <c r="F28" s="61">
        <f>2.05 * CHOOSE(CONTROL!$C$22, $C$13, 100%, $E$13)</f>
        <v>2.0499999999999998</v>
      </c>
      <c r="G28" s="61">
        <f>2.0502 * CHOOSE(CONTROL!$C$22, $C$13, 100%, $E$13)</f>
        <v>2.0501999999999998</v>
      </c>
      <c r="H28" s="61">
        <f>5.2795* CHOOSE(CONTROL!$C$22, $C$13, 100%, $E$13)</f>
        <v>5.2794999999999996</v>
      </c>
      <c r="I28" s="61">
        <f>5.2797 * CHOOSE(CONTROL!$C$22, $C$13, 100%, $E$13)</f>
        <v>5.2797000000000001</v>
      </c>
      <c r="J28" s="61">
        <f>3.0678 * CHOOSE(CONTROL!$C$22, $C$13, 100%, $E$13)</f>
        <v>3.0678000000000001</v>
      </c>
      <c r="K28" s="61">
        <f>3.068 * CHOOSE(CONTROL!$C$22, $C$13, 100%, $E$13)</f>
        <v>3.0680000000000001</v>
      </c>
      <c r="L28" s="4"/>
      <c r="M28" s="4"/>
      <c r="N28" s="4"/>
    </row>
    <row r="29" spans="1:14" ht="15">
      <c r="A29" s="13">
        <v>42736</v>
      </c>
      <c r="B29" s="60">
        <f>2.2766 * CHOOSE(CONTROL!$C$22, $C$13, 100%, $E$13)</f>
        <v>2.2766000000000002</v>
      </c>
      <c r="C29" s="60">
        <f>2.2766 * CHOOSE(CONTROL!$C$22, $C$13, 100%, $E$13)</f>
        <v>2.2766000000000002</v>
      </c>
      <c r="D29" s="60">
        <f>2.2954 * CHOOSE(CONTROL!$C$22, $C$13, 100%, $E$13)</f>
        <v>2.2953999999999999</v>
      </c>
      <c r="E29" s="61">
        <f>3.4487 * CHOOSE(CONTROL!$C$22, $C$13, 100%, $E$13)</f>
        <v>3.4487000000000001</v>
      </c>
      <c r="F29" s="61">
        <f>2.073 * CHOOSE(CONTROL!$C$22, $C$13, 100%, $E$13)</f>
        <v>2.073</v>
      </c>
      <c r="G29" s="61">
        <f>2.0732 * CHOOSE(CONTROL!$C$22, $C$13, 100%, $E$13)</f>
        <v>2.0731999999999999</v>
      </c>
      <c r="H29" s="61">
        <f>5.2905* CHOOSE(CONTROL!$C$22, $C$13, 100%, $E$13)</f>
        <v>5.2904999999999998</v>
      </c>
      <c r="I29" s="61">
        <f>5.2907 * CHOOSE(CONTROL!$C$22, $C$13, 100%, $E$13)</f>
        <v>5.2907000000000002</v>
      </c>
      <c r="J29" s="61">
        <f>3.4487 * CHOOSE(CONTROL!$C$22, $C$13, 100%, $E$13)</f>
        <v>3.4487000000000001</v>
      </c>
      <c r="K29" s="61">
        <f>3.4489 * CHOOSE(CONTROL!$C$22, $C$13, 100%, $E$13)</f>
        <v>3.4489000000000001</v>
      </c>
      <c r="L29" s="4"/>
      <c r="M29" s="4"/>
      <c r="N29" s="4"/>
    </row>
    <row r="30" spans="1:14" ht="15">
      <c r="A30" s="13">
        <v>42767</v>
      </c>
      <c r="B30" s="60">
        <f>2.2705 * CHOOSE(CONTROL!$C$22, $C$13, 100%, $E$13)</f>
        <v>2.2705000000000002</v>
      </c>
      <c r="C30" s="60">
        <f>2.2705 * CHOOSE(CONTROL!$C$22, $C$13, 100%, $E$13)</f>
        <v>2.2705000000000002</v>
      </c>
      <c r="D30" s="60">
        <f>2.2894 * CHOOSE(CONTROL!$C$22, $C$13, 100%, $E$13)</f>
        <v>2.2894000000000001</v>
      </c>
      <c r="E30" s="61">
        <f>3.3873 * CHOOSE(CONTROL!$C$22, $C$13, 100%, $E$13)</f>
        <v>3.3873000000000002</v>
      </c>
      <c r="F30" s="61">
        <f>2.073 * CHOOSE(CONTROL!$C$22, $C$13, 100%, $E$13)</f>
        <v>2.073</v>
      </c>
      <c r="G30" s="61">
        <f>2.0732 * CHOOSE(CONTROL!$C$22, $C$13, 100%, $E$13)</f>
        <v>2.0731999999999999</v>
      </c>
      <c r="H30" s="61">
        <f>5.3015* CHOOSE(CONTROL!$C$22, $C$13, 100%, $E$13)</f>
        <v>5.3014999999999999</v>
      </c>
      <c r="I30" s="61">
        <f>5.3017 * CHOOSE(CONTROL!$C$22, $C$13, 100%, $E$13)</f>
        <v>5.3017000000000003</v>
      </c>
      <c r="J30" s="61">
        <f>3.3873 * CHOOSE(CONTROL!$C$22, $C$13, 100%, $E$13)</f>
        <v>3.3873000000000002</v>
      </c>
      <c r="K30" s="61">
        <f>3.3875 * CHOOSE(CONTROL!$C$22,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2.2645 * CHOOSE(CONTROL!$C$22, $C$13, 100%, $E$13)</f>
        <v>2.2645</v>
      </c>
      <c r="C31" s="60">
        <f>2.2645 * CHOOSE(CONTROL!$C$22, $C$13, 100%, $E$13)</f>
        <v>2.2645</v>
      </c>
      <c r="D31" s="60">
        <f>2.2833 * CHOOSE(CONTROL!$C$22, $C$13, 100%, $E$13)</f>
        <v>2.2833000000000001</v>
      </c>
      <c r="E31" s="61">
        <f>3.3873 * CHOOSE(CONTROL!$C$22, $C$13, 100%, $E$13)</f>
        <v>3.3873000000000002</v>
      </c>
      <c r="F31" s="61">
        <f>2.073 * CHOOSE(CONTROL!$C$22, $C$13, 100%, $E$13)</f>
        <v>2.073</v>
      </c>
      <c r="G31" s="61">
        <f>2.0732 * CHOOSE(CONTROL!$C$22, $C$13, 100%, $E$13)</f>
        <v>2.0731999999999999</v>
      </c>
      <c r="H31" s="61">
        <f>5.3126* CHOOSE(CONTROL!$C$22, $C$13, 100%, $E$13)</f>
        <v>5.3125999999999998</v>
      </c>
      <c r="I31" s="61">
        <f>5.3127 * CHOOSE(CONTROL!$C$22, $C$13, 100%, $E$13)</f>
        <v>5.3127000000000004</v>
      </c>
      <c r="J31" s="61">
        <f>3.3873 * CHOOSE(CONTROL!$C$22, $C$13, 100%, $E$13)</f>
        <v>3.3873000000000002</v>
      </c>
      <c r="K31" s="61">
        <f>3.3875 * CHOOSE(CONTROL!$C$22, $C$13, 100%, $E$13)</f>
        <v>3.3875000000000002</v>
      </c>
      <c r="L31" s="4"/>
      <c r="M31" s="4"/>
      <c r="N31" s="4"/>
    </row>
    <row r="32" spans="1:14" ht="15">
      <c r="A32" s="13">
        <v>42826</v>
      </c>
      <c r="B32" s="60">
        <f>2.2553 * CHOOSE(CONTROL!$C$22, $C$13, 100%, $E$13)</f>
        <v>2.2553000000000001</v>
      </c>
      <c r="C32" s="60">
        <f>2.2553 * CHOOSE(CONTROL!$C$22, $C$13, 100%, $E$13)</f>
        <v>2.2553000000000001</v>
      </c>
      <c r="D32" s="60">
        <f>2.2742 * CHOOSE(CONTROL!$C$22, $C$13, 100%, $E$13)</f>
        <v>2.2742</v>
      </c>
      <c r="E32" s="61">
        <f>3.3873 * CHOOSE(CONTROL!$C$22, $C$13, 100%, $E$13)</f>
        <v>3.3873000000000002</v>
      </c>
      <c r="F32" s="61">
        <f>2.049 * CHOOSE(CONTROL!$C$22, $C$13, 100%, $E$13)</f>
        <v>2.0489999999999999</v>
      </c>
      <c r="G32" s="61">
        <f>2.0492 * CHOOSE(CONTROL!$C$22, $C$13, 100%, $E$13)</f>
        <v>2.0491999999999999</v>
      </c>
      <c r="H32" s="61">
        <f>5.3236* CHOOSE(CONTROL!$C$22, $C$13, 100%, $E$13)</f>
        <v>5.3235999999999999</v>
      </c>
      <c r="I32" s="61">
        <f>5.3238 * CHOOSE(CONTROL!$C$22, $C$13, 100%, $E$13)</f>
        <v>5.3238000000000003</v>
      </c>
      <c r="J32" s="61">
        <f>3.3873 * CHOOSE(CONTROL!$C$22, $C$13, 100%, $E$13)</f>
        <v>3.3873000000000002</v>
      </c>
      <c r="K32" s="61">
        <f>3.3875 * CHOOSE(CONTROL!$C$22,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2.2493 * CHOOSE(CONTROL!$C$22, $C$13, 100%, $E$13)</f>
        <v>2.2492999999999999</v>
      </c>
      <c r="C33" s="60">
        <f>2.2493 * CHOOSE(CONTROL!$C$22, $C$13, 100%, $E$13)</f>
        <v>2.2492999999999999</v>
      </c>
      <c r="D33" s="60">
        <f>2.2869 * CHOOSE(CONTROL!$C$22, $C$13, 100%, $E$13)</f>
        <v>2.2869000000000002</v>
      </c>
      <c r="E33" s="61">
        <f>3.3873 * CHOOSE(CONTROL!$C$22, $C$13, 100%, $E$13)</f>
        <v>3.3873000000000002</v>
      </c>
      <c r="F33" s="61">
        <f>2.049 * CHOOSE(CONTROL!$C$22, $C$13, 100%, $E$13)</f>
        <v>2.0489999999999999</v>
      </c>
      <c r="G33" s="61">
        <f>2.0513 * CHOOSE(CONTROL!$C$22, $C$13, 100%, $E$13)</f>
        <v>2.0512999999999999</v>
      </c>
      <c r="H33" s="61">
        <f>5.3347* CHOOSE(CONTROL!$C$22, $C$13, 100%, $E$13)</f>
        <v>5.3346999999999998</v>
      </c>
      <c r="I33" s="61">
        <f>5.337 * CHOOSE(CONTROL!$C$22, $C$13, 100%, $E$13)</f>
        <v>5.3369999999999997</v>
      </c>
      <c r="J33" s="61">
        <f>3.3873 * CHOOSE(CONTROL!$C$22, $C$13, 100%, $E$13)</f>
        <v>3.3873000000000002</v>
      </c>
      <c r="K33" s="61">
        <f>3.3896 * CHOOSE(CONTROL!$C$22, $C$13, 100%, $E$13)</f>
        <v>3.3896000000000002</v>
      </c>
      <c r="L33" s="4"/>
      <c r="M33" s="4"/>
      <c r="N33" s="4"/>
    </row>
    <row r="34" spans="1:14" ht="15">
      <c r="A34" s="13">
        <v>42887</v>
      </c>
      <c r="B34" s="60">
        <f>2.2645 * CHOOSE(CONTROL!$C$22, $C$13, 100%, $E$13)</f>
        <v>2.2645</v>
      </c>
      <c r="C34" s="60">
        <f>2.2645 * CHOOSE(CONTROL!$C$22, $C$13, 100%, $E$13)</f>
        <v>2.2645</v>
      </c>
      <c r="D34" s="60">
        <f>2.3021 * CHOOSE(CONTROL!$C$22, $C$13, 100%, $E$13)</f>
        <v>2.3020999999999998</v>
      </c>
      <c r="E34" s="61">
        <f>3.2645 * CHOOSE(CONTROL!$C$22, $C$13, 100%, $E$13)</f>
        <v>3.2645</v>
      </c>
      <c r="F34" s="61">
        <f>2.049 * CHOOSE(CONTROL!$C$22, $C$13, 100%, $E$13)</f>
        <v>2.0489999999999999</v>
      </c>
      <c r="G34" s="61">
        <f>2.0513 * CHOOSE(CONTROL!$C$22, $C$13, 100%, $E$13)</f>
        <v>2.0512999999999999</v>
      </c>
      <c r="H34" s="61">
        <f>5.3458* CHOOSE(CONTROL!$C$22, $C$13, 100%, $E$13)</f>
        <v>5.3457999999999997</v>
      </c>
      <c r="I34" s="61">
        <f>5.3481 * CHOOSE(CONTROL!$C$22, $C$13, 100%, $E$13)</f>
        <v>5.3480999999999996</v>
      </c>
      <c r="J34" s="61">
        <f>3.2645 * CHOOSE(CONTROL!$C$22, $C$13, 100%, $E$13)</f>
        <v>3.2645</v>
      </c>
      <c r="K34" s="61">
        <f>3.2668 * CHOOSE(CONTROL!$C$22, $C$13, 100%, $E$13)</f>
        <v>3.2667999999999999</v>
      </c>
      <c r="L34" s="4"/>
      <c r="M34" s="4"/>
      <c r="N34" s="4"/>
    </row>
    <row r="35" spans="1:14" ht="15">
      <c r="A35" s="13">
        <v>42917</v>
      </c>
      <c r="B35" s="60">
        <f>2.2949 * CHOOSE(CONTROL!$C$22, $C$13, 100%, $E$13)</f>
        <v>2.2949000000000002</v>
      </c>
      <c r="C35" s="60">
        <f>2.2949 * CHOOSE(CONTROL!$C$22, $C$13, 100%, $E$13)</f>
        <v>2.2949000000000002</v>
      </c>
      <c r="D35" s="60">
        <f>2.3325 * CHOOSE(CONTROL!$C$22, $C$13, 100%, $E$13)</f>
        <v>2.3325</v>
      </c>
      <c r="E35" s="61">
        <f>3.633 * CHOOSE(CONTROL!$C$22, $C$13, 100%, $E$13)</f>
        <v>3.633</v>
      </c>
      <c r="F35" s="61">
        <f>2.035 * CHOOSE(CONTROL!$C$22, $C$13, 100%, $E$13)</f>
        <v>2.0350000000000001</v>
      </c>
      <c r="G35" s="61">
        <f>2.0373 * CHOOSE(CONTROL!$C$22, $C$13, 100%, $E$13)</f>
        <v>2.0373000000000001</v>
      </c>
      <c r="H35" s="61">
        <f>5.357* CHOOSE(CONTROL!$C$22, $C$13, 100%, $E$13)</f>
        <v>5.3570000000000002</v>
      </c>
      <c r="I35" s="61">
        <f>5.3593 * CHOOSE(CONTROL!$C$22, $C$13, 100%, $E$13)</f>
        <v>5.3593000000000002</v>
      </c>
      <c r="J35" s="61">
        <f>3.633 * CHOOSE(CONTROL!$C$22, $C$13, 100%, $E$13)</f>
        <v>3.633</v>
      </c>
      <c r="K35" s="61">
        <f>3.6353 * CHOOSE(CONTROL!$C$22, $C$13, 100%, $E$13)</f>
        <v>3.6353</v>
      </c>
      <c r="L35" s="4"/>
      <c r="M35" s="4"/>
      <c r="N35" s="4"/>
    </row>
    <row r="36" spans="1:14" ht="15">
      <c r="A36" s="13">
        <v>42948</v>
      </c>
      <c r="B36" s="60">
        <f>2.3161 * CHOOSE(CONTROL!$C$22, $C$13, 100%, $E$13)</f>
        <v>2.3161</v>
      </c>
      <c r="C36" s="60">
        <f>2.3161 * CHOOSE(CONTROL!$C$22, $C$13, 100%, $E$13)</f>
        <v>2.3161</v>
      </c>
      <c r="D36" s="60">
        <f>2.3538 * CHOOSE(CONTROL!$C$22, $C$13, 100%, $E$13)</f>
        <v>2.3538000000000001</v>
      </c>
      <c r="E36" s="61">
        <f>3.633 * CHOOSE(CONTROL!$C$22, $C$13, 100%, $E$13)</f>
        <v>3.633</v>
      </c>
      <c r="F36" s="61">
        <f>2.035 * CHOOSE(CONTROL!$C$22, $C$13, 100%, $E$13)</f>
        <v>2.0350000000000001</v>
      </c>
      <c r="G36" s="61">
        <f>2.0373 * CHOOSE(CONTROL!$C$22, $C$13, 100%, $E$13)</f>
        <v>2.0373000000000001</v>
      </c>
      <c r="H36" s="61">
        <f>5.3681* CHOOSE(CONTROL!$C$22, $C$13, 100%, $E$13)</f>
        <v>5.3681000000000001</v>
      </c>
      <c r="I36" s="61">
        <f>5.3704 * CHOOSE(CONTROL!$C$22, $C$13, 100%, $E$13)</f>
        <v>5.3704000000000001</v>
      </c>
      <c r="J36" s="61">
        <f>3.633 * CHOOSE(CONTROL!$C$22, $C$13, 100%, $E$13)</f>
        <v>3.633</v>
      </c>
      <c r="K36" s="61">
        <f>3.6353 * CHOOSE(CONTROL!$C$22, $C$13, 100%, $E$13)</f>
        <v>3.6353</v>
      </c>
      <c r="L36" s="4"/>
      <c r="M36" s="4"/>
      <c r="N36" s="4"/>
    </row>
    <row r="37" spans="1:14" ht="15">
      <c r="A37" s="13">
        <v>42979</v>
      </c>
      <c r="B37" s="60">
        <f>2.304 * CHOOSE(CONTROL!$C$22, $C$13, 100%, $E$13)</f>
        <v>2.3039999999999998</v>
      </c>
      <c r="C37" s="60">
        <f>2.304 * CHOOSE(CONTROL!$C$22, $C$13, 100%, $E$13)</f>
        <v>2.3039999999999998</v>
      </c>
      <c r="D37" s="60">
        <f>2.3416 * CHOOSE(CONTROL!$C$22, $C$13, 100%, $E$13)</f>
        <v>2.3416000000000001</v>
      </c>
      <c r="E37" s="61">
        <f>3.633 * CHOOSE(CONTROL!$C$22, $C$13, 100%, $E$13)</f>
        <v>3.633</v>
      </c>
      <c r="F37" s="61">
        <f>2.035 * CHOOSE(CONTROL!$C$22, $C$13, 100%, $E$13)</f>
        <v>2.0350000000000001</v>
      </c>
      <c r="G37" s="61">
        <f>2.0373 * CHOOSE(CONTROL!$C$22, $C$13, 100%, $E$13)</f>
        <v>2.0373000000000001</v>
      </c>
      <c r="H37" s="61">
        <f>5.3793* CHOOSE(CONTROL!$C$22, $C$13, 100%, $E$13)</f>
        <v>5.3792999999999997</v>
      </c>
      <c r="I37" s="61">
        <f>5.3816 * CHOOSE(CONTROL!$C$22, $C$13, 100%, $E$13)</f>
        <v>5.3815999999999997</v>
      </c>
      <c r="J37" s="61">
        <f>3.633 * CHOOSE(CONTROL!$C$22, $C$13, 100%, $E$13)</f>
        <v>3.633</v>
      </c>
      <c r="K37" s="61">
        <f>3.6353 * CHOOSE(CONTROL!$C$22, $C$13, 100%, $E$13)</f>
        <v>3.6353</v>
      </c>
      <c r="L37" s="4"/>
      <c r="M37" s="4"/>
      <c r="N37" s="4"/>
    </row>
    <row r="38" spans="1:14" ht="15">
      <c r="A38" s="13">
        <v>43009</v>
      </c>
      <c r="B38" s="60">
        <f>2.3009 * CHOOSE(CONTROL!$C$22, $C$13, 100%, $E$13)</f>
        <v>2.3008999999999999</v>
      </c>
      <c r="C38" s="60">
        <f>2.3009 * CHOOSE(CONTROL!$C$22, $C$13, 100%, $E$13)</f>
        <v>2.3008999999999999</v>
      </c>
      <c r="D38" s="60">
        <f>2.3198 * CHOOSE(CONTROL!$C$22, $C$13, 100%, $E$13)</f>
        <v>2.3197999999999999</v>
      </c>
      <c r="E38" s="61">
        <f>3.633 * CHOOSE(CONTROL!$C$22, $C$13, 100%, $E$13)</f>
        <v>3.633</v>
      </c>
      <c r="F38" s="61">
        <f>2.035 * CHOOSE(CONTROL!$C$22, $C$13, 100%, $E$13)</f>
        <v>2.0350000000000001</v>
      </c>
      <c r="G38" s="61">
        <f>2.0352 * CHOOSE(CONTROL!$C$22, $C$13, 100%, $E$13)</f>
        <v>2.0352000000000001</v>
      </c>
      <c r="H38" s="61">
        <f>5.3905* CHOOSE(CONTROL!$C$22, $C$13, 100%, $E$13)</f>
        <v>5.3905000000000003</v>
      </c>
      <c r="I38" s="61">
        <f>5.3907 * CHOOSE(CONTROL!$C$22, $C$13, 100%, $E$13)</f>
        <v>5.3906999999999998</v>
      </c>
      <c r="J38" s="61">
        <f>3.633 * CHOOSE(CONTROL!$C$22, $C$13, 100%, $E$13)</f>
        <v>3.633</v>
      </c>
      <c r="K38" s="61">
        <f>3.6332 * CHOOSE(CONTROL!$C$22, $C$13, 100%, $E$13)</f>
        <v>3.6332</v>
      </c>
      <c r="L38" s="4"/>
      <c r="M38" s="4"/>
      <c r="N38" s="4"/>
    </row>
    <row r="39" spans="1:14" ht="15">
      <c r="A39" s="13">
        <v>43040</v>
      </c>
      <c r="B39" s="60">
        <f>2.3131 * CHOOSE(CONTROL!$C$22, $C$13, 100%, $E$13)</f>
        <v>2.3130999999999999</v>
      </c>
      <c r="C39" s="60">
        <f>2.3131 * CHOOSE(CONTROL!$C$22, $C$13, 100%, $E$13)</f>
        <v>2.3130999999999999</v>
      </c>
      <c r="D39" s="60">
        <f>2.3319 * CHOOSE(CONTROL!$C$22, $C$13, 100%, $E$13)</f>
        <v>2.3319000000000001</v>
      </c>
      <c r="E39" s="61">
        <f>3.2372 * CHOOSE(CONTROL!$C$22, $C$13, 100%, $E$13)</f>
        <v>3.2372000000000001</v>
      </c>
      <c r="F39" s="61">
        <f>2.05 * CHOOSE(CONTROL!$C$22, $C$13, 100%, $E$13)</f>
        <v>2.0499999999999998</v>
      </c>
      <c r="G39" s="61">
        <f>2.0502 * CHOOSE(CONTROL!$C$22, $C$13, 100%, $E$13)</f>
        <v>2.0501999999999998</v>
      </c>
      <c r="H39" s="61">
        <f>5.4017* CHOOSE(CONTROL!$C$22, $C$13, 100%, $E$13)</f>
        <v>5.4016999999999999</v>
      </c>
      <c r="I39" s="61">
        <f>5.4019 * CHOOSE(CONTROL!$C$22, $C$13, 100%, $E$13)</f>
        <v>5.4019000000000004</v>
      </c>
      <c r="J39" s="61">
        <f>3.2372 * CHOOSE(CONTROL!$C$22, $C$13, 100%, $E$13)</f>
        <v>3.2372000000000001</v>
      </c>
      <c r="K39" s="61">
        <f>3.2374 * CHOOSE(CONTROL!$C$22, $C$13, 100%, $E$13)</f>
        <v>3.2374000000000001</v>
      </c>
      <c r="L39" s="4"/>
      <c r="M39" s="4"/>
      <c r="N39" s="4"/>
    </row>
    <row r="40" spans="1:14" ht="15">
      <c r="A40" s="13">
        <v>43070</v>
      </c>
      <c r="B40" s="60">
        <f>2.3253 * CHOOSE(CONTROL!$C$22, $C$13, 100%, $E$13)</f>
        <v>2.3252999999999999</v>
      </c>
      <c r="C40" s="60">
        <f>2.3253 * CHOOSE(CONTROL!$C$22, $C$13, 100%, $E$13)</f>
        <v>2.3252999999999999</v>
      </c>
      <c r="D40" s="60">
        <f>2.3441 * CHOOSE(CONTROL!$C$22, $C$13, 100%, $E$13)</f>
        <v>2.3441000000000001</v>
      </c>
      <c r="E40" s="61">
        <f>3.2372 * CHOOSE(CONTROL!$C$22, $C$13, 100%, $E$13)</f>
        <v>3.2372000000000001</v>
      </c>
      <c r="F40" s="61">
        <f>2.05 * CHOOSE(CONTROL!$C$22, $C$13, 100%, $E$13)</f>
        <v>2.0499999999999998</v>
      </c>
      <c r="G40" s="61">
        <f>2.0502 * CHOOSE(CONTROL!$C$22, $C$13, 100%, $E$13)</f>
        <v>2.0501999999999998</v>
      </c>
      <c r="H40" s="61">
        <f>5.413* CHOOSE(CONTROL!$C$22, $C$13, 100%, $E$13)</f>
        <v>5.4130000000000003</v>
      </c>
      <c r="I40" s="61">
        <f>5.4132 * CHOOSE(CONTROL!$C$22, $C$13, 100%, $E$13)</f>
        <v>5.4131999999999998</v>
      </c>
      <c r="J40" s="61">
        <f>3.2372 * CHOOSE(CONTROL!$C$22, $C$13, 100%, $E$13)</f>
        <v>3.2372000000000001</v>
      </c>
      <c r="K40" s="61">
        <f>3.2374 * CHOOSE(CONTROL!$C$22, $C$13, 100%, $E$13)</f>
        <v>3.2374000000000001</v>
      </c>
      <c r="L40" s="4"/>
      <c r="M40" s="4"/>
      <c r="N40" s="4"/>
    </row>
    <row r="41" spans="1:14" ht="15">
      <c r="A41" s="13">
        <v>43101</v>
      </c>
      <c r="B41" s="60">
        <f>2.3811 * CHOOSE(CONTROL!$C$22, $C$13, 100%, $E$13)</f>
        <v>2.3811</v>
      </c>
      <c r="C41" s="60">
        <f>2.3811 * CHOOSE(CONTROL!$C$22, $C$13, 100%, $E$13)</f>
        <v>2.3811</v>
      </c>
      <c r="D41" s="60">
        <f>2.4 * CHOOSE(CONTROL!$C$22, $C$13, 100%, $E$13)</f>
        <v>2.4</v>
      </c>
      <c r="E41" s="61">
        <f>2.3159 * CHOOSE(CONTROL!$C$22, $C$13, 100%, $E$13)</f>
        <v>2.3159000000000001</v>
      </c>
      <c r="F41" s="61">
        <f>2.3159 * CHOOSE(CONTROL!$C$22, $C$13, 100%, $E$13)</f>
        <v>2.3159000000000001</v>
      </c>
      <c r="G41" s="61">
        <f>2.316 * CHOOSE(CONTROL!$C$22, $C$13, 100%, $E$13)</f>
        <v>2.3159999999999998</v>
      </c>
      <c r="H41" s="61">
        <f>5.4243* CHOOSE(CONTROL!$C$22, $C$13, 100%, $E$13)</f>
        <v>5.4242999999999997</v>
      </c>
      <c r="I41" s="61">
        <f>5.4245 * CHOOSE(CONTROL!$C$22, $C$13, 100%, $E$13)</f>
        <v>5.4245000000000001</v>
      </c>
      <c r="J41" s="61">
        <f>2.3159 * CHOOSE(CONTROL!$C$22, $C$13, 100%, $E$13)</f>
        <v>2.3159000000000001</v>
      </c>
      <c r="K41" s="61">
        <f>2.316 * CHOOSE(CONTROL!$C$22, $C$13, 100%, $E$13)</f>
        <v>2.3159999999999998</v>
      </c>
      <c r="L41" s="4"/>
      <c r="M41" s="4"/>
      <c r="N41" s="4"/>
    </row>
    <row r="42" spans="1:14" ht="15">
      <c r="A42" s="13">
        <v>43132</v>
      </c>
      <c r="B42" s="60">
        <f>2.3751 * CHOOSE(CONTROL!$C$22, $C$13, 100%, $E$13)</f>
        <v>2.3751000000000002</v>
      </c>
      <c r="C42" s="60">
        <f>2.3751 * CHOOSE(CONTROL!$C$22, $C$13, 100%, $E$13)</f>
        <v>2.3751000000000002</v>
      </c>
      <c r="D42" s="60">
        <f>2.3939 * CHOOSE(CONTROL!$C$22, $C$13, 100%, $E$13)</f>
        <v>2.3938999999999999</v>
      </c>
      <c r="E42" s="61">
        <f>2.3174 * CHOOSE(CONTROL!$C$22, $C$13, 100%, $E$13)</f>
        <v>2.3174000000000001</v>
      </c>
      <c r="F42" s="61">
        <f>2.3174 * CHOOSE(CONTROL!$C$22, $C$13, 100%, $E$13)</f>
        <v>2.3174000000000001</v>
      </c>
      <c r="G42" s="61">
        <f>2.3176 * CHOOSE(CONTROL!$C$22, $C$13, 100%, $E$13)</f>
        <v>2.3176000000000001</v>
      </c>
      <c r="H42" s="61">
        <f>5.4356* CHOOSE(CONTROL!$C$22, $C$13, 100%, $E$13)</f>
        <v>5.4356</v>
      </c>
      <c r="I42" s="61">
        <f>5.4358 * CHOOSE(CONTROL!$C$22, $C$13, 100%, $E$13)</f>
        <v>5.4358000000000004</v>
      </c>
      <c r="J42" s="61">
        <f>2.3174 * CHOOSE(CONTROL!$C$22, $C$13, 100%, $E$13)</f>
        <v>2.3174000000000001</v>
      </c>
      <c r="K42" s="61">
        <f>2.3176 * CHOOSE(CONTROL!$C$22, $C$13, 100%, $E$13)</f>
        <v>2.3176000000000001</v>
      </c>
      <c r="L42" s="4"/>
      <c r="M42" s="4"/>
      <c r="N42" s="4"/>
    </row>
    <row r="43" spans="1:14" ht="15">
      <c r="A43" s="13">
        <v>43160</v>
      </c>
      <c r="B43" s="60">
        <f>2.369 * CHOOSE(CONTROL!$C$22, $C$13, 100%, $E$13)</f>
        <v>2.3690000000000002</v>
      </c>
      <c r="C43" s="60">
        <f>2.369 * CHOOSE(CONTROL!$C$22, $C$13, 100%, $E$13)</f>
        <v>2.3690000000000002</v>
      </c>
      <c r="D43" s="60">
        <f>2.3878 * CHOOSE(CONTROL!$C$22, $C$13, 100%, $E$13)</f>
        <v>2.3877999999999999</v>
      </c>
      <c r="E43" s="61">
        <f>2.3217 * CHOOSE(CONTROL!$C$22, $C$13, 100%, $E$13)</f>
        <v>2.3216999999999999</v>
      </c>
      <c r="F43" s="61">
        <f>2.3217 * CHOOSE(CONTROL!$C$22, $C$13, 100%, $E$13)</f>
        <v>2.3216999999999999</v>
      </c>
      <c r="G43" s="61">
        <f>2.3218 * CHOOSE(CONTROL!$C$22, $C$13, 100%, $E$13)</f>
        <v>2.3218000000000001</v>
      </c>
      <c r="H43" s="61">
        <f>5.4469* CHOOSE(CONTROL!$C$22, $C$13, 100%, $E$13)</f>
        <v>5.4469000000000003</v>
      </c>
      <c r="I43" s="61">
        <f>5.4471 * CHOOSE(CONTROL!$C$22, $C$13, 100%, $E$13)</f>
        <v>5.4470999999999998</v>
      </c>
      <c r="J43" s="61">
        <f>2.3217 * CHOOSE(CONTROL!$C$22, $C$13, 100%, $E$13)</f>
        <v>2.3216999999999999</v>
      </c>
      <c r="K43" s="61">
        <f>2.3218 * CHOOSE(CONTROL!$C$22, $C$13, 100%, $E$13)</f>
        <v>2.3218000000000001</v>
      </c>
      <c r="L43" s="4"/>
      <c r="M43" s="4"/>
      <c r="N43" s="4"/>
    </row>
    <row r="44" spans="1:14" ht="15">
      <c r="A44" s="13">
        <v>43191</v>
      </c>
      <c r="B44" s="60">
        <f>2.3629 * CHOOSE(CONTROL!$C$22, $C$13, 100%, $E$13)</f>
        <v>2.3628999999999998</v>
      </c>
      <c r="C44" s="60">
        <f>2.3629 * CHOOSE(CONTROL!$C$22, $C$13, 100%, $E$13)</f>
        <v>2.3628999999999998</v>
      </c>
      <c r="D44" s="60">
        <f>2.3817 * CHOOSE(CONTROL!$C$22, $C$13, 100%, $E$13)</f>
        <v>2.3816999999999999</v>
      </c>
      <c r="E44" s="61">
        <f>2.3286 * CHOOSE(CONTROL!$C$22, $C$13, 100%, $E$13)</f>
        <v>2.3285999999999998</v>
      </c>
      <c r="F44" s="61">
        <f>2.3286 * CHOOSE(CONTROL!$C$22, $C$13, 100%, $E$13)</f>
        <v>2.3285999999999998</v>
      </c>
      <c r="G44" s="61">
        <f>2.3287 * CHOOSE(CONTROL!$C$22, $C$13, 100%, $E$13)</f>
        <v>2.3287</v>
      </c>
      <c r="H44" s="61">
        <f>5.4582* CHOOSE(CONTROL!$C$22, $C$13, 100%, $E$13)</f>
        <v>5.4581999999999997</v>
      </c>
      <c r="I44" s="61">
        <f>5.4584 * CHOOSE(CONTROL!$C$22, $C$13, 100%, $E$13)</f>
        <v>5.4584000000000001</v>
      </c>
      <c r="J44" s="61">
        <f>2.3286 * CHOOSE(CONTROL!$C$22, $C$13, 100%, $E$13)</f>
        <v>2.3285999999999998</v>
      </c>
      <c r="K44" s="61">
        <f>2.3287 * CHOOSE(CONTROL!$C$22, $C$13, 100%, $E$13)</f>
        <v>2.3287</v>
      </c>
      <c r="L44" s="4"/>
      <c r="M44" s="4"/>
      <c r="N44" s="4"/>
    </row>
    <row r="45" spans="1:14" ht="15">
      <c r="A45" s="13">
        <v>43221</v>
      </c>
      <c r="B45" s="60">
        <f>2.3568 * CHOOSE(CONTROL!$C$22, $C$13, 100%, $E$13)</f>
        <v>2.3567999999999998</v>
      </c>
      <c r="C45" s="60">
        <f>2.3568 * CHOOSE(CONTROL!$C$22, $C$13, 100%, $E$13)</f>
        <v>2.3567999999999998</v>
      </c>
      <c r="D45" s="60">
        <f>2.3944 * CHOOSE(CONTROL!$C$22, $C$13, 100%, $E$13)</f>
        <v>2.3944000000000001</v>
      </c>
      <c r="E45" s="61">
        <f>2.354 * CHOOSE(CONTROL!$C$22, $C$13, 100%, $E$13)</f>
        <v>2.3540000000000001</v>
      </c>
      <c r="F45" s="61">
        <f>2.354 * CHOOSE(CONTROL!$C$22, $C$13, 100%, $E$13)</f>
        <v>2.3540000000000001</v>
      </c>
      <c r="G45" s="61">
        <f>2.3563 * CHOOSE(CONTROL!$C$22, $C$13, 100%, $E$13)</f>
        <v>2.3563000000000001</v>
      </c>
      <c r="H45" s="61">
        <f>5.4696* CHOOSE(CONTROL!$C$22, $C$13, 100%, $E$13)</f>
        <v>5.4695999999999998</v>
      </c>
      <c r="I45" s="61">
        <f>5.4719 * CHOOSE(CONTROL!$C$22, $C$13, 100%, $E$13)</f>
        <v>5.4718999999999998</v>
      </c>
      <c r="J45" s="61">
        <f>2.354 * CHOOSE(CONTROL!$C$22, $C$13, 100%, $E$13)</f>
        <v>2.3540000000000001</v>
      </c>
      <c r="K45" s="61">
        <f>2.3563 * CHOOSE(CONTROL!$C$22, $C$13, 100%, $E$13)</f>
        <v>2.3563000000000001</v>
      </c>
      <c r="L45" s="4"/>
      <c r="M45" s="4"/>
      <c r="N45" s="4"/>
    </row>
    <row r="46" spans="1:14" ht="15">
      <c r="A46" s="13">
        <v>43252</v>
      </c>
      <c r="B46" s="60">
        <f>2.369 * CHOOSE(CONTROL!$C$22, $C$13, 100%, $E$13)</f>
        <v>2.3690000000000002</v>
      </c>
      <c r="C46" s="60">
        <f>2.369 * CHOOSE(CONTROL!$C$22, $C$13, 100%, $E$13)</f>
        <v>2.3690000000000002</v>
      </c>
      <c r="D46" s="60">
        <f>2.4066 * CHOOSE(CONTROL!$C$22, $C$13, 100%, $E$13)</f>
        <v>2.4066000000000001</v>
      </c>
      <c r="E46" s="61">
        <f>2.3848 * CHOOSE(CONTROL!$C$22, $C$13, 100%, $E$13)</f>
        <v>2.3847999999999998</v>
      </c>
      <c r="F46" s="61">
        <f>2.3848 * CHOOSE(CONTROL!$C$22, $C$13, 100%, $E$13)</f>
        <v>2.3847999999999998</v>
      </c>
      <c r="G46" s="61">
        <f>2.3871 * CHOOSE(CONTROL!$C$22, $C$13, 100%, $E$13)</f>
        <v>2.3871000000000002</v>
      </c>
      <c r="H46" s="61">
        <f>5.481* CHOOSE(CONTROL!$C$22, $C$13, 100%, $E$13)</f>
        <v>5.4809999999999999</v>
      </c>
      <c r="I46" s="61">
        <f>5.4833 * CHOOSE(CONTROL!$C$22, $C$13, 100%, $E$13)</f>
        <v>5.4832999999999998</v>
      </c>
      <c r="J46" s="61">
        <f>2.3848 * CHOOSE(CONTROL!$C$22, $C$13, 100%, $E$13)</f>
        <v>2.3847999999999998</v>
      </c>
      <c r="K46" s="61">
        <f>2.3871 * CHOOSE(CONTROL!$C$22, $C$13, 100%, $E$13)</f>
        <v>2.3871000000000002</v>
      </c>
      <c r="L46" s="4"/>
      <c r="M46" s="4"/>
      <c r="N46" s="4"/>
    </row>
    <row r="47" spans="1:14" ht="15">
      <c r="A47" s="13">
        <v>43282</v>
      </c>
      <c r="B47" s="60">
        <f>2.3872 * CHOOSE(CONTROL!$C$22, $C$13, 100%, $E$13)</f>
        <v>2.3872</v>
      </c>
      <c r="C47" s="60">
        <f>2.3872 * CHOOSE(CONTROL!$C$22, $C$13, 100%, $E$13)</f>
        <v>2.3872</v>
      </c>
      <c r="D47" s="60">
        <f>2.4248 * CHOOSE(CONTROL!$C$22, $C$13, 100%, $E$13)</f>
        <v>2.4247999999999998</v>
      </c>
      <c r="E47" s="61">
        <f>2.4401 * CHOOSE(CONTROL!$C$22, $C$13, 100%, $E$13)</f>
        <v>2.4401000000000002</v>
      </c>
      <c r="F47" s="61">
        <f>2.4401 * CHOOSE(CONTROL!$C$22, $C$13, 100%, $E$13)</f>
        <v>2.4401000000000002</v>
      </c>
      <c r="G47" s="61">
        <f>2.4424 * CHOOSE(CONTROL!$C$22, $C$13, 100%, $E$13)</f>
        <v>2.4424000000000001</v>
      </c>
      <c r="H47" s="61">
        <f>5.4924* CHOOSE(CONTROL!$C$22, $C$13, 100%, $E$13)</f>
        <v>5.4923999999999999</v>
      </c>
      <c r="I47" s="61">
        <f>5.4947 * CHOOSE(CONTROL!$C$22, $C$13, 100%, $E$13)</f>
        <v>5.4946999999999999</v>
      </c>
      <c r="J47" s="61">
        <f>2.4401 * CHOOSE(CONTROL!$C$22, $C$13, 100%, $E$13)</f>
        <v>2.4401000000000002</v>
      </c>
      <c r="K47" s="61">
        <f>2.4424 * CHOOSE(CONTROL!$C$22, $C$13, 100%, $E$13)</f>
        <v>2.4424000000000001</v>
      </c>
      <c r="L47" s="4"/>
      <c r="M47" s="4"/>
      <c r="N47" s="4"/>
    </row>
    <row r="48" spans="1:14" ht="15">
      <c r="A48" s="13">
        <v>43313</v>
      </c>
      <c r="B48" s="60">
        <f>2.4055 * CHOOSE(CONTROL!$C$22, $C$13, 100%, $E$13)</f>
        <v>2.4055</v>
      </c>
      <c r="C48" s="60">
        <f>2.4055 * CHOOSE(CONTROL!$C$22, $C$13, 100%, $E$13)</f>
        <v>2.4055</v>
      </c>
      <c r="D48" s="60">
        <f>2.4431 * CHOOSE(CONTROL!$C$22, $C$13, 100%, $E$13)</f>
        <v>2.4430999999999998</v>
      </c>
      <c r="E48" s="61">
        <f>2.4602 * CHOOSE(CONTROL!$C$22, $C$13, 100%, $E$13)</f>
        <v>2.4601999999999999</v>
      </c>
      <c r="F48" s="61">
        <f>2.4602 * CHOOSE(CONTROL!$C$22, $C$13, 100%, $E$13)</f>
        <v>2.4601999999999999</v>
      </c>
      <c r="G48" s="61">
        <f>2.4625 * CHOOSE(CONTROL!$C$22, $C$13, 100%, $E$13)</f>
        <v>2.4624999999999999</v>
      </c>
      <c r="H48" s="61">
        <f>5.5039* CHOOSE(CONTROL!$C$22, $C$13, 100%, $E$13)</f>
        <v>5.5038999999999998</v>
      </c>
      <c r="I48" s="61">
        <f>5.5062 * CHOOSE(CONTROL!$C$22, $C$13, 100%, $E$13)</f>
        <v>5.5061999999999998</v>
      </c>
      <c r="J48" s="61">
        <f>2.4602 * CHOOSE(CONTROL!$C$22, $C$13, 100%, $E$13)</f>
        <v>2.4601999999999999</v>
      </c>
      <c r="K48" s="61">
        <f>2.4625 * CHOOSE(CONTROL!$C$22, $C$13, 100%, $E$13)</f>
        <v>2.4624999999999999</v>
      </c>
      <c r="L48" s="4"/>
      <c r="M48" s="4"/>
      <c r="N48" s="4"/>
    </row>
    <row r="49" spans="1:14" ht="15">
      <c r="A49" s="13">
        <v>43344</v>
      </c>
      <c r="B49" s="60">
        <f>2.3933 * CHOOSE(CONTROL!$C$22, $C$13, 100%, $E$13)</f>
        <v>2.3933</v>
      </c>
      <c r="C49" s="60">
        <f>2.3933 * CHOOSE(CONTROL!$C$22, $C$13, 100%, $E$13)</f>
        <v>2.3933</v>
      </c>
      <c r="D49" s="60">
        <f>2.4309 * CHOOSE(CONTROL!$C$22, $C$13, 100%, $E$13)</f>
        <v>2.4308999999999998</v>
      </c>
      <c r="E49" s="61">
        <f>2.5112 * CHOOSE(CONTROL!$C$22, $C$13, 100%, $E$13)</f>
        <v>2.5112000000000001</v>
      </c>
      <c r="F49" s="61">
        <f>2.5112 * CHOOSE(CONTROL!$C$22, $C$13, 100%, $E$13)</f>
        <v>2.5112000000000001</v>
      </c>
      <c r="G49" s="61">
        <f>2.5135 * CHOOSE(CONTROL!$C$22, $C$13, 100%, $E$13)</f>
        <v>2.5135000000000001</v>
      </c>
      <c r="H49" s="61">
        <f>5.5153* CHOOSE(CONTROL!$C$22, $C$13, 100%, $E$13)</f>
        <v>5.5152999999999999</v>
      </c>
      <c r="I49" s="61">
        <f>5.5177 * CHOOSE(CONTROL!$C$22, $C$13, 100%, $E$13)</f>
        <v>5.5176999999999996</v>
      </c>
      <c r="J49" s="61">
        <f>2.5112 * CHOOSE(CONTROL!$C$22, $C$13, 100%, $E$13)</f>
        <v>2.5112000000000001</v>
      </c>
      <c r="K49" s="61">
        <f>2.5135 * CHOOSE(CONTROL!$C$22, $C$13, 100%, $E$13)</f>
        <v>2.5135000000000001</v>
      </c>
      <c r="L49" s="4"/>
      <c r="M49" s="4"/>
      <c r="N49" s="4"/>
    </row>
    <row r="50" spans="1:14" ht="15">
      <c r="A50" s="13">
        <v>43374</v>
      </c>
      <c r="B50" s="60">
        <f>2.3842 * CHOOSE(CONTROL!$C$22, $C$13, 100%, $E$13)</f>
        <v>2.3841999999999999</v>
      </c>
      <c r="C50" s="60">
        <f>2.3842 * CHOOSE(CONTROL!$C$22, $C$13, 100%, $E$13)</f>
        <v>2.3841999999999999</v>
      </c>
      <c r="D50" s="60">
        <f>2.403 * CHOOSE(CONTROL!$C$22, $C$13, 100%, $E$13)</f>
        <v>2.403</v>
      </c>
      <c r="E50" s="61">
        <f>2.4896 * CHOOSE(CONTROL!$C$22, $C$13, 100%, $E$13)</f>
        <v>2.4895999999999998</v>
      </c>
      <c r="F50" s="61">
        <f>2.4896 * CHOOSE(CONTROL!$C$22, $C$13, 100%, $E$13)</f>
        <v>2.4895999999999998</v>
      </c>
      <c r="G50" s="61">
        <f>2.4898 * CHOOSE(CONTROL!$C$22, $C$13, 100%, $E$13)</f>
        <v>2.4897999999999998</v>
      </c>
      <c r="H50" s="61">
        <f>5.5268* CHOOSE(CONTROL!$C$22, $C$13, 100%, $E$13)</f>
        <v>5.5267999999999997</v>
      </c>
      <c r="I50" s="61">
        <f>5.527 * CHOOSE(CONTROL!$C$22, $C$13, 100%, $E$13)</f>
        <v>5.5270000000000001</v>
      </c>
      <c r="J50" s="61">
        <f>2.4896 * CHOOSE(CONTROL!$C$22, $C$13, 100%, $E$13)</f>
        <v>2.4895999999999998</v>
      </c>
      <c r="K50" s="61">
        <f>2.4898 * CHOOSE(CONTROL!$C$22, $C$13, 100%, $E$13)</f>
        <v>2.4897999999999998</v>
      </c>
      <c r="L50" s="4"/>
      <c r="M50" s="4"/>
      <c r="N50" s="4"/>
    </row>
    <row r="51" spans="1:14" ht="15">
      <c r="A51" s="13">
        <v>43405</v>
      </c>
      <c r="B51" s="60">
        <f>2.3963 * CHOOSE(CONTROL!$C$22, $C$13, 100%, $E$13)</f>
        <v>2.3963000000000001</v>
      </c>
      <c r="C51" s="60">
        <f>2.3963 * CHOOSE(CONTROL!$C$22, $C$13, 100%, $E$13)</f>
        <v>2.3963000000000001</v>
      </c>
      <c r="D51" s="60">
        <f>2.4151 * CHOOSE(CONTROL!$C$22, $C$13, 100%, $E$13)</f>
        <v>2.4150999999999998</v>
      </c>
      <c r="E51" s="61">
        <f>2.5159 * CHOOSE(CONTROL!$C$22, $C$13, 100%, $E$13)</f>
        <v>2.5158999999999998</v>
      </c>
      <c r="F51" s="61">
        <f>2.5159 * CHOOSE(CONTROL!$C$22, $C$13, 100%, $E$13)</f>
        <v>2.5158999999999998</v>
      </c>
      <c r="G51" s="61">
        <f>2.5161 * CHOOSE(CONTROL!$C$22, $C$13, 100%, $E$13)</f>
        <v>2.5160999999999998</v>
      </c>
      <c r="H51" s="61">
        <f>5.5383* CHOOSE(CONTROL!$C$22, $C$13, 100%, $E$13)</f>
        <v>5.5382999999999996</v>
      </c>
      <c r="I51" s="61">
        <f>5.5385 * CHOOSE(CONTROL!$C$22, $C$13, 100%, $E$13)</f>
        <v>5.5385</v>
      </c>
      <c r="J51" s="61">
        <f>2.5159 * CHOOSE(CONTROL!$C$22, $C$13, 100%, $E$13)</f>
        <v>2.5158999999999998</v>
      </c>
      <c r="K51" s="61">
        <f>2.5161 * CHOOSE(CONTROL!$C$22, $C$13, 100%, $E$13)</f>
        <v>2.5160999999999998</v>
      </c>
      <c r="L51" s="4"/>
      <c r="M51" s="4"/>
      <c r="N51" s="4"/>
    </row>
    <row r="52" spans="1:14" ht="15">
      <c r="A52" s="13">
        <v>43435</v>
      </c>
      <c r="B52" s="60">
        <f>2.4085 * CHOOSE(CONTROL!$C$22, $C$13, 100%, $E$13)</f>
        <v>2.4085000000000001</v>
      </c>
      <c r="C52" s="60">
        <f>2.4085 * CHOOSE(CONTROL!$C$22, $C$13, 100%, $E$13)</f>
        <v>2.4085000000000001</v>
      </c>
      <c r="D52" s="60">
        <f>2.4273 * CHOOSE(CONTROL!$C$22, $C$13, 100%, $E$13)</f>
        <v>2.4272999999999998</v>
      </c>
      <c r="E52" s="61">
        <f>2.5184 * CHOOSE(CONTROL!$C$22, $C$13, 100%, $E$13)</f>
        <v>2.5184000000000002</v>
      </c>
      <c r="F52" s="61">
        <f>2.5184 * CHOOSE(CONTROL!$C$22, $C$13, 100%, $E$13)</f>
        <v>2.5184000000000002</v>
      </c>
      <c r="G52" s="61">
        <f>2.5185 * CHOOSE(CONTROL!$C$22, $C$13, 100%, $E$13)</f>
        <v>2.5185</v>
      </c>
      <c r="H52" s="61">
        <f>5.5499* CHOOSE(CONTROL!$C$22, $C$13, 100%, $E$13)</f>
        <v>5.5499000000000001</v>
      </c>
      <c r="I52" s="61">
        <f>5.5501 * CHOOSE(CONTROL!$C$22, $C$13, 100%, $E$13)</f>
        <v>5.5500999999999996</v>
      </c>
      <c r="J52" s="61">
        <f>2.5184 * CHOOSE(CONTROL!$C$22, $C$13, 100%, $E$13)</f>
        <v>2.5184000000000002</v>
      </c>
      <c r="K52" s="61">
        <f>2.5185 * CHOOSE(CONTROL!$C$22, $C$13, 100%, $E$13)</f>
        <v>2.5185</v>
      </c>
      <c r="L52" s="4"/>
      <c r="M52" s="4"/>
      <c r="N52" s="4"/>
    </row>
    <row r="53" spans="1:14" ht="15">
      <c r="A53" s="13">
        <v>43466</v>
      </c>
      <c r="B53" s="60">
        <f>2.4751 * CHOOSE(CONTROL!$C$22, $C$13, 100%, $E$13)</f>
        <v>2.4750999999999999</v>
      </c>
      <c r="C53" s="60">
        <f>2.4751 * CHOOSE(CONTROL!$C$22, $C$13, 100%, $E$13)</f>
        <v>2.4750999999999999</v>
      </c>
      <c r="D53" s="60">
        <f>2.4939 * CHOOSE(CONTROL!$C$22, $C$13, 100%, $E$13)</f>
        <v>2.4939</v>
      </c>
      <c r="E53" s="61">
        <f>2.5695 * CHOOSE(CONTROL!$C$22, $C$13, 100%, $E$13)</f>
        <v>2.5695000000000001</v>
      </c>
      <c r="F53" s="61">
        <f>2.5695 * CHOOSE(CONTROL!$C$22, $C$13, 100%, $E$13)</f>
        <v>2.5695000000000001</v>
      </c>
      <c r="G53" s="61">
        <f>2.5697 * CHOOSE(CONTROL!$C$22, $C$13, 100%, $E$13)</f>
        <v>2.5697000000000001</v>
      </c>
      <c r="H53" s="61">
        <f>5.5614* CHOOSE(CONTROL!$C$22, $C$13, 100%, $E$13)</f>
        <v>5.5613999999999999</v>
      </c>
      <c r="I53" s="61">
        <f>5.5616 * CHOOSE(CONTROL!$C$22, $C$13, 100%, $E$13)</f>
        <v>5.5616000000000003</v>
      </c>
      <c r="J53" s="61">
        <f>2.5695 * CHOOSE(CONTROL!$C$22, $C$13, 100%, $E$13)</f>
        <v>2.5695000000000001</v>
      </c>
      <c r="K53" s="61">
        <f>2.5697 * CHOOSE(CONTROL!$C$22, $C$13, 100%, $E$13)</f>
        <v>2.5697000000000001</v>
      </c>
      <c r="L53" s="4"/>
      <c r="M53" s="4"/>
      <c r="N53" s="4"/>
    </row>
    <row r="54" spans="1:14" ht="15">
      <c r="A54" s="13">
        <v>43497</v>
      </c>
      <c r="B54" s="60">
        <f>2.472 * CHOOSE(CONTROL!$C$22, $C$13, 100%, $E$13)</f>
        <v>2.472</v>
      </c>
      <c r="C54" s="60">
        <f>2.472 * CHOOSE(CONTROL!$C$22, $C$13, 100%, $E$13)</f>
        <v>2.472</v>
      </c>
      <c r="D54" s="60">
        <f>2.4908 * CHOOSE(CONTROL!$C$22, $C$13, 100%, $E$13)</f>
        <v>2.4908000000000001</v>
      </c>
      <c r="E54" s="61">
        <f>2.5537 * CHOOSE(CONTROL!$C$22, $C$13, 100%, $E$13)</f>
        <v>2.5537000000000001</v>
      </c>
      <c r="F54" s="61">
        <f>2.5537 * CHOOSE(CONTROL!$C$22, $C$13, 100%, $E$13)</f>
        <v>2.5537000000000001</v>
      </c>
      <c r="G54" s="61">
        <f>2.5539 * CHOOSE(CONTROL!$C$22, $C$13, 100%, $E$13)</f>
        <v>2.5539000000000001</v>
      </c>
      <c r="H54" s="61">
        <f>5.573* CHOOSE(CONTROL!$C$22, $C$13, 100%, $E$13)</f>
        <v>5.5730000000000004</v>
      </c>
      <c r="I54" s="61">
        <f>5.5732 * CHOOSE(CONTROL!$C$22, $C$13, 100%, $E$13)</f>
        <v>5.5731999999999999</v>
      </c>
      <c r="J54" s="61">
        <f>2.5537 * CHOOSE(CONTROL!$C$22, $C$13, 100%, $E$13)</f>
        <v>2.5537000000000001</v>
      </c>
      <c r="K54" s="61">
        <f>2.5539 * CHOOSE(CONTROL!$C$22, $C$13, 100%, $E$13)</f>
        <v>2.5539000000000001</v>
      </c>
      <c r="L54" s="4"/>
      <c r="M54" s="4"/>
      <c r="N54" s="4"/>
    </row>
    <row r="55" spans="1:14" ht="15">
      <c r="A55" s="13">
        <v>43525</v>
      </c>
      <c r="B55" s="60">
        <f>2.469 * CHOOSE(CONTROL!$C$22, $C$13, 100%, $E$13)</f>
        <v>2.4689999999999999</v>
      </c>
      <c r="C55" s="60">
        <f>2.469 * CHOOSE(CONTROL!$C$22, $C$13, 100%, $E$13)</f>
        <v>2.4689999999999999</v>
      </c>
      <c r="D55" s="60">
        <f>2.4878 * CHOOSE(CONTROL!$C$22, $C$13, 100%, $E$13)</f>
        <v>2.4878</v>
      </c>
      <c r="E55" s="61">
        <f>2.5624 * CHOOSE(CONTROL!$C$22, $C$13, 100%, $E$13)</f>
        <v>2.5623999999999998</v>
      </c>
      <c r="F55" s="61">
        <f>2.5624 * CHOOSE(CONTROL!$C$22, $C$13, 100%, $E$13)</f>
        <v>2.5623999999999998</v>
      </c>
      <c r="G55" s="61">
        <f>2.5625 * CHOOSE(CONTROL!$C$22, $C$13, 100%, $E$13)</f>
        <v>2.5625</v>
      </c>
      <c r="H55" s="61">
        <f>5.5846* CHOOSE(CONTROL!$C$22, $C$13, 100%, $E$13)</f>
        <v>5.5846</v>
      </c>
      <c r="I55" s="61">
        <f>5.5848 * CHOOSE(CONTROL!$C$22, $C$13, 100%, $E$13)</f>
        <v>5.5848000000000004</v>
      </c>
      <c r="J55" s="61">
        <f>2.5624 * CHOOSE(CONTROL!$C$22, $C$13, 100%, $E$13)</f>
        <v>2.5623999999999998</v>
      </c>
      <c r="K55" s="61">
        <f>2.5625 * CHOOSE(CONTROL!$C$22, $C$13, 100%, $E$13)</f>
        <v>2.5625</v>
      </c>
      <c r="L55" s="4"/>
      <c r="M55" s="4"/>
      <c r="N55" s="4"/>
    </row>
    <row r="56" spans="1:14" ht="15">
      <c r="A56" s="13">
        <v>43556</v>
      </c>
      <c r="B56" s="60">
        <f>2.4629 * CHOOSE(CONTROL!$C$22, $C$13, 100%, $E$13)</f>
        <v>2.4628999999999999</v>
      </c>
      <c r="C56" s="60">
        <f>2.4629 * CHOOSE(CONTROL!$C$22, $C$13, 100%, $E$13)</f>
        <v>2.4628999999999999</v>
      </c>
      <c r="D56" s="60">
        <f>2.4817 * CHOOSE(CONTROL!$C$22, $C$13, 100%, $E$13)</f>
        <v>2.4817</v>
      </c>
      <c r="E56" s="61">
        <f>2.5697 * CHOOSE(CONTROL!$C$22, $C$13, 100%, $E$13)</f>
        <v>2.5697000000000001</v>
      </c>
      <c r="F56" s="61">
        <f>2.5697 * CHOOSE(CONTROL!$C$22, $C$13, 100%, $E$13)</f>
        <v>2.5697000000000001</v>
      </c>
      <c r="G56" s="61">
        <f>2.5699 * CHOOSE(CONTROL!$C$22, $C$13, 100%, $E$13)</f>
        <v>2.5699000000000001</v>
      </c>
      <c r="H56" s="61">
        <f>5.5963* CHOOSE(CONTROL!$C$22, $C$13, 100%, $E$13)</f>
        <v>5.5963000000000003</v>
      </c>
      <c r="I56" s="61">
        <f>5.5965 * CHOOSE(CONTROL!$C$22, $C$13, 100%, $E$13)</f>
        <v>5.5964999999999998</v>
      </c>
      <c r="J56" s="61">
        <f>2.5697 * CHOOSE(CONTROL!$C$22, $C$13, 100%, $E$13)</f>
        <v>2.5697000000000001</v>
      </c>
      <c r="K56" s="61">
        <f>2.5699 * CHOOSE(CONTROL!$C$22, $C$13, 100%, $E$13)</f>
        <v>2.5699000000000001</v>
      </c>
      <c r="L56" s="4"/>
      <c r="M56" s="4"/>
      <c r="N56" s="4"/>
    </row>
    <row r="57" spans="1:14" ht="15">
      <c r="A57" s="13">
        <v>43586</v>
      </c>
      <c r="B57" s="60">
        <f>2.4629 * CHOOSE(CONTROL!$C$22, $C$13, 100%, $E$13)</f>
        <v>2.4628999999999999</v>
      </c>
      <c r="C57" s="60">
        <f>2.4629 * CHOOSE(CONTROL!$C$22, $C$13, 100%, $E$13)</f>
        <v>2.4628999999999999</v>
      </c>
      <c r="D57" s="60">
        <f>2.5005 * CHOOSE(CONTROL!$C$22, $C$13, 100%, $E$13)</f>
        <v>2.5005000000000002</v>
      </c>
      <c r="E57" s="61">
        <f>2.574 * CHOOSE(CONTROL!$C$22, $C$13, 100%, $E$13)</f>
        <v>2.5739999999999998</v>
      </c>
      <c r="F57" s="61">
        <f>2.574 * CHOOSE(CONTROL!$C$22, $C$13, 100%, $E$13)</f>
        <v>2.5739999999999998</v>
      </c>
      <c r="G57" s="61">
        <f>2.5764 * CHOOSE(CONTROL!$C$22, $C$13, 100%, $E$13)</f>
        <v>2.5764</v>
      </c>
      <c r="H57" s="61">
        <f>5.6079* CHOOSE(CONTROL!$C$22, $C$13, 100%, $E$13)</f>
        <v>5.6078999999999999</v>
      </c>
      <c r="I57" s="61">
        <f>5.6103 * CHOOSE(CONTROL!$C$22, $C$13, 100%, $E$13)</f>
        <v>5.6102999999999996</v>
      </c>
      <c r="J57" s="61">
        <f>2.574 * CHOOSE(CONTROL!$C$22, $C$13, 100%, $E$13)</f>
        <v>2.5739999999999998</v>
      </c>
      <c r="K57" s="61">
        <f>2.5764 * CHOOSE(CONTROL!$C$22, $C$13, 100%, $E$13)</f>
        <v>2.5764</v>
      </c>
      <c r="L57" s="4"/>
      <c r="M57" s="4"/>
      <c r="N57" s="4"/>
    </row>
    <row r="58" spans="1:14" ht="15">
      <c r="A58" s="13">
        <v>43617</v>
      </c>
      <c r="B58" s="60">
        <f>2.469 * CHOOSE(CONTROL!$C$22, $C$13, 100%, $E$13)</f>
        <v>2.4689999999999999</v>
      </c>
      <c r="C58" s="60">
        <f>2.469 * CHOOSE(CONTROL!$C$22, $C$13, 100%, $E$13)</f>
        <v>2.4689999999999999</v>
      </c>
      <c r="D58" s="60">
        <f>2.5066 * CHOOSE(CONTROL!$C$22, $C$13, 100%, $E$13)</f>
        <v>2.5066000000000002</v>
      </c>
      <c r="E58" s="61">
        <f>2.5739 * CHOOSE(CONTROL!$C$22, $C$13, 100%, $E$13)</f>
        <v>2.5739000000000001</v>
      </c>
      <c r="F58" s="61">
        <f>2.5739 * CHOOSE(CONTROL!$C$22, $C$13, 100%, $E$13)</f>
        <v>2.5739000000000001</v>
      </c>
      <c r="G58" s="61">
        <f>2.5763 * CHOOSE(CONTROL!$C$22, $C$13, 100%, $E$13)</f>
        <v>2.5762999999999998</v>
      </c>
      <c r="H58" s="61">
        <f>5.6196* CHOOSE(CONTROL!$C$22, $C$13, 100%, $E$13)</f>
        <v>5.6196000000000002</v>
      </c>
      <c r="I58" s="61">
        <f>5.6219 * CHOOSE(CONTROL!$C$22, $C$13, 100%, $E$13)</f>
        <v>5.6219000000000001</v>
      </c>
      <c r="J58" s="61">
        <f>2.5739 * CHOOSE(CONTROL!$C$22, $C$13, 100%, $E$13)</f>
        <v>2.5739000000000001</v>
      </c>
      <c r="K58" s="61">
        <f>2.5763 * CHOOSE(CONTROL!$C$22, $C$13, 100%, $E$13)</f>
        <v>2.5762999999999998</v>
      </c>
      <c r="L58" s="4"/>
      <c r="M58" s="4"/>
      <c r="N58" s="4"/>
    </row>
    <row r="59" spans="1:14" ht="15">
      <c r="A59" s="13">
        <v>43647</v>
      </c>
      <c r="B59" s="60">
        <f>2.4964 * CHOOSE(CONTROL!$C$22, $C$13, 100%, $E$13)</f>
        <v>2.4964</v>
      </c>
      <c r="C59" s="60">
        <f>2.4964 * CHOOSE(CONTROL!$C$22, $C$13, 100%, $E$13)</f>
        <v>2.4964</v>
      </c>
      <c r="D59" s="60">
        <f>2.5341 * CHOOSE(CONTROL!$C$22, $C$13, 100%, $E$13)</f>
        <v>2.5341</v>
      </c>
      <c r="E59" s="61">
        <f>2.6157 * CHOOSE(CONTROL!$C$22, $C$13, 100%, $E$13)</f>
        <v>2.6156999999999999</v>
      </c>
      <c r="F59" s="61">
        <f>2.6157 * CHOOSE(CONTROL!$C$22, $C$13, 100%, $E$13)</f>
        <v>2.6156999999999999</v>
      </c>
      <c r="G59" s="61">
        <f>2.618 * CHOOSE(CONTROL!$C$22, $C$13, 100%, $E$13)</f>
        <v>2.6179999999999999</v>
      </c>
      <c r="H59" s="61">
        <f>5.6313* CHOOSE(CONTROL!$C$22, $C$13, 100%, $E$13)</f>
        <v>5.6313000000000004</v>
      </c>
      <c r="I59" s="61">
        <f>5.6336 * CHOOSE(CONTROL!$C$22, $C$13, 100%, $E$13)</f>
        <v>5.6336000000000004</v>
      </c>
      <c r="J59" s="61">
        <f>2.6157 * CHOOSE(CONTROL!$C$22, $C$13, 100%, $E$13)</f>
        <v>2.6156999999999999</v>
      </c>
      <c r="K59" s="61">
        <f>2.618 * CHOOSE(CONTROL!$C$22, $C$13, 100%, $E$13)</f>
        <v>2.6179999999999999</v>
      </c>
      <c r="L59" s="4"/>
      <c r="M59" s="4"/>
      <c r="N59" s="4"/>
    </row>
    <row r="60" spans="1:14" ht="15">
      <c r="A60" s="13">
        <v>43678</v>
      </c>
      <c r="B60" s="60">
        <f>2.5031 * CHOOSE(CONTROL!$C$22, $C$13, 100%, $E$13)</f>
        <v>2.5030999999999999</v>
      </c>
      <c r="C60" s="60">
        <f>2.5031 * CHOOSE(CONTROL!$C$22, $C$13, 100%, $E$13)</f>
        <v>2.5030999999999999</v>
      </c>
      <c r="D60" s="60">
        <f>2.5407 * CHOOSE(CONTROL!$C$22, $C$13, 100%, $E$13)</f>
        <v>2.5407000000000002</v>
      </c>
      <c r="E60" s="61">
        <f>2.6074 * CHOOSE(CONTROL!$C$22, $C$13, 100%, $E$13)</f>
        <v>2.6074000000000002</v>
      </c>
      <c r="F60" s="61">
        <f>2.6074 * CHOOSE(CONTROL!$C$22, $C$13, 100%, $E$13)</f>
        <v>2.6074000000000002</v>
      </c>
      <c r="G60" s="61">
        <f>2.6097 * CHOOSE(CONTROL!$C$22, $C$13, 100%, $E$13)</f>
        <v>2.6097000000000001</v>
      </c>
      <c r="H60" s="61">
        <f>5.6431* CHOOSE(CONTROL!$C$22, $C$13, 100%, $E$13)</f>
        <v>5.6430999999999996</v>
      </c>
      <c r="I60" s="61">
        <f>5.6454 * CHOOSE(CONTROL!$C$22, $C$13, 100%, $E$13)</f>
        <v>5.6454000000000004</v>
      </c>
      <c r="J60" s="61">
        <f>2.6074 * CHOOSE(CONTROL!$C$22, $C$13, 100%, $E$13)</f>
        <v>2.6074000000000002</v>
      </c>
      <c r="K60" s="61">
        <f>2.6097 * CHOOSE(CONTROL!$C$22, $C$13, 100%, $E$13)</f>
        <v>2.6097000000000001</v>
      </c>
      <c r="L60" s="4"/>
      <c r="M60" s="4"/>
      <c r="N60" s="4"/>
    </row>
    <row r="61" spans="1:14" ht="15">
      <c r="A61" s="13">
        <v>43709</v>
      </c>
      <c r="B61" s="60">
        <f>2.5001 * CHOOSE(CONTROL!$C$22, $C$13, 100%, $E$13)</f>
        <v>2.5001000000000002</v>
      </c>
      <c r="C61" s="60">
        <f>2.5001 * CHOOSE(CONTROL!$C$22, $C$13, 100%, $E$13)</f>
        <v>2.5001000000000002</v>
      </c>
      <c r="D61" s="60">
        <f>2.5377 * CHOOSE(CONTROL!$C$22, $C$13, 100%, $E$13)</f>
        <v>2.5377000000000001</v>
      </c>
      <c r="E61" s="61">
        <f>2.6038 * CHOOSE(CONTROL!$C$22, $C$13, 100%, $E$13)</f>
        <v>2.6038000000000001</v>
      </c>
      <c r="F61" s="61">
        <f>2.6038 * CHOOSE(CONTROL!$C$22, $C$13, 100%, $E$13)</f>
        <v>2.6038000000000001</v>
      </c>
      <c r="G61" s="61">
        <f>2.6061 * CHOOSE(CONTROL!$C$22, $C$13, 100%, $E$13)</f>
        <v>2.6061000000000001</v>
      </c>
      <c r="H61" s="61">
        <f>5.6548* CHOOSE(CONTROL!$C$22, $C$13, 100%, $E$13)</f>
        <v>5.6547999999999998</v>
      </c>
      <c r="I61" s="61">
        <f>5.6571 * CHOOSE(CONTROL!$C$22, $C$13, 100%, $E$13)</f>
        <v>5.6570999999999998</v>
      </c>
      <c r="J61" s="61">
        <f>2.6038 * CHOOSE(CONTROL!$C$22, $C$13, 100%, $E$13)</f>
        <v>2.6038000000000001</v>
      </c>
      <c r="K61" s="61">
        <f>2.6061 * CHOOSE(CONTROL!$C$22, $C$13, 100%, $E$13)</f>
        <v>2.6061000000000001</v>
      </c>
      <c r="L61" s="4"/>
      <c r="M61" s="4"/>
      <c r="N61" s="4"/>
    </row>
    <row r="62" spans="1:14" ht="15">
      <c r="A62" s="13">
        <v>43739</v>
      </c>
      <c r="B62" s="60">
        <f>2.4808 * CHOOSE(CONTROL!$C$22, $C$13, 100%, $E$13)</f>
        <v>2.4807999999999999</v>
      </c>
      <c r="C62" s="60">
        <f>2.4808 * CHOOSE(CONTROL!$C$22, $C$13, 100%, $E$13)</f>
        <v>2.4807999999999999</v>
      </c>
      <c r="D62" s="60">
        <f>2.4996 * CHOOSE(CONTROL!$C$22, $C$13, 100%, $E$13)</f>
        <v>2.4996</v>
      </c>
      <c r="E62" s="61">
        <f>2.5962 * CHOOSE(CONTROL!$C$22, $C$13, 100%, $E$13)</f>
        <v>2.5962000000000001</v>
      </c>
      <c r="F62" s="61">
        <f>2.5962 * CHOOSE(CONTROL!$C$22, $C$13, 100%, $E$13)</f>
        <v>2.5962000000000001</v>
      </c>
      <c r="G62" s="61">
        <f>2.5963 * CHOOSE(CONTROL!$C$22, $C$13, 100%, $E$13)</f>
        <v>2.5962999999999998</v>
      </c>
      <c r="H62" s="61">
        <f>5.6666* CHOOSE(CONTROL!$C$22, $C$13, 100%, $E$13)</f>
        <v>5.6665999999999999</v>
      </c>
      <c r="I62" s="61">
        <f>5.6668 * CHOOSE(CONTROL!$C$22, $C$13, 100%, $E$13)</f>
        <v>5.6668000000000003</v>
      </c>
      <c r="J62" s="61">
        <f>2.5962 * CHOOSE(CONTROL!$C$22, $C$13, 100%, $E$13)</f>
        <v>2.5962000000000001</v>
      </c>
      <c r="K62" s="61">
        <f>2.5963 * CHOOSE(CONTROL!$C$22, $C$13, 100%, $E$13)</f>
        <v>2.5962999999999998</v>
      </c>
      <c r="L62" s="4"/>
      <c r="M62" s="4"/>
      <c r="N62" s="4"/>
    </row>
    <row r="63" spans="1:14" ht="15">
      <c r="A63" s="13">
        <v>43770</v>
      </c>
      <c r="B63" s="60">
        <f>2.4839 * CHOOSE(CONTROL!$C$22, $C$13, 100%, $E$13)</f>
        <v>2.4839000000000002</v>
      </c>
      <c r="C63" s="60">
        <f>2.4839 * CHOOSE(CONTROL!$C$22, $C$13, 100%, $E$13)</f>
        <v>2.4839000000000002</v>
      </c>
      <c r="D63" s="60">
        <f>2.5027 * CHOOSE(CONTROL!$C$22, $C$13, 100%, $E$13)</f>
        <v>2.5026999999999999</v>
      </c>
      <c r="E63" s="61">
        <f>2.6012 * CHOOSE(CONTROL!$C$22, $C$13, 100%, $E$13)</f>
        <v>2.6012</v>
      </c>
      <c r="F63" s="61">
        <f>2.6012 * CHOOSE(CONTROL!$C$22, $C$13, 100%, $E$13)</f>
        <v>2.6012</v>
      </c>
      <c r="G63" s="61">
        <f>2.6013 * CHOOSE(CONTROL!$C$22, $C$13, 100%, $E$13)</f>
        <v>2.6013000000000002</v>
      </c>
      <c r="H63" s="61">
        <f>5.6784* CHOOSE(CONTROL!$C$22, $C$13, 100%, $E$13)</f>
        <v>5.6783999999999999</v>
      </c>
      <c r="I63" s="61">
        <f>5.6786 * CHOOSE(CONTROL!$C$22, $C$13, 100%, $E$13)</f>
        <v>5.6786000000000003</v>
      </c>
      <c r="J63" s="61">
        <f>2.6012 * CHOOSE(CONTROL!$C$22, $C$13, 100%, $E$13)</f>
        <v>2.6012</v>
      </c>
      <c r="K63" s="61">
        <f>2.6013 * CHOOSE(CONTROL!$C$22, $C$13, 100%, $E$13)</f>
        <v>2.6013000000000002</v>
      </c>
      <c r="L63" s="4"/>
      <c r="M63" s="4"/>
      <c r="N63" s="4"/>
    </row>
    <row r="64" spans="1:14" ht="15">
      <c r="A64" s="13">
        <v>43800</v>
      </c>
      <c r="B64" s="60">
        <f>2.4839 * CHOOSE(CONTROL!$C$22, $C$13, 100%, $E$13)</f>
        <v>2.4839000000000002</v>
      </c>
      <c r="C64" s="60">
        <f>2.4839 * CHOOSE(CONTROL!$C$22, $C$13, 100%, $E$13)</f>
        <v>2.4839000000000002</v>
      </c>
      <c r="D64" s="60">
        <f>2.5027 * CHOOSE(CONTROL!$C$22, $C$13, 100%, $E$13)</f>
        <v>2.5026999999999999</v>
      </c>
      <c r="E64" s="61">
        <f>2.5939 * CHOOSE(CONTROL!$C$22, $C$13, 100%, $E$13)</f>
        <v>2.5939000000000001</v>
      </c>
      <c r="F64" s="61">
        <f>2.5939 * CHOOSE(CONTROL!$C$22, $C$13, 100%, $E$13)</f>
        <v>2.5939000000000001</v>
      </c>
      <c r="G64" s="61">
        <f>2.5941 * CHOOSE(CONTROL!$C$22, $C$13, 100%, $E$13)</f>
        <v>2.5941000000000001</v>
      </c>
      <c r="H64" s="61">
        <f>5.6902* CHOOSE(CONTROL!$C$22, $C$13, 100%, $E$13)</f>
        <v>5.6901999999999999</v>
      </c>
      <c r="I64" s="61">
        <f>5.6904 * CHOOSE(CONTROL!$C$22, $C$13, 100%, $E$13)</f>
        <v>5.6904000000000003</v>
      </c>
      <c r="J64" s="61">
        <f>2.5939 * CHOOSE(CONTROL!$C$22, $C$13, 100%, $E$13)</f>
        <v>2.5939000000000001</v>
      </c>
      <c r="K64" s="61">
        <f>2.5941 * CHOOSE(CONTROL!$C$22, $C$13, 100%, $E$13)</f>
        <v>2.5941000000000001</v>
      </c>
      <c r="L64" s="4"/>
      <c r="M64" s="4"/>
      <c r="N64" s="4"/>
    </row>
    <row r="65" spans="1:14" ht="15">
      <c r="A65" s="13">
        <v>43831</v>
      </c>
      <c r="B65" s="60">
        <f>2.6884 * CHOOSE(CONTROL!$C$22, $C$13, 100%, $E$13)</f>
        <v>2.6884000000000001</v>
      </c>
      <c r="C65" s="60">
        <f>2.6884 * CHOOSE(CONTROL!$C$22, $C$13, 100%, $E$13)</f>
        <v>2.6884000000000001</v>
      </c>
      <c r="D65" s="60">
        <f>2.7072 * CHOOSE(CONTROL!$C$22, $C$13, 100%, $E$13)</f>
        <v>2.7071999999999998</v>
      </c>
      <c r="E65" s="61">
        <f>2.6809 * CHOOSE(CONTROL!$C$22, $C$13, 100%, $E$13)</f>
        <v>2.6808999999999998</v>
      </c>
      <c r="F65" s="61">
        <f>2.6809 * CHOOSE(CONTROL!$C$22, $C$13, 100%, $E$13)</f>
        <v>2.6808999999999998</v>
      </c>
      <c r="G65" s="61">
        <f>2.6811 * CHOOSE(CONTROL!$C$22, $C$13, 100%, $E$13)</f>
        <v>2.6810999999999998</v>
      </c>
      <c r="H65" s="61">
        <f>5.7021* CHOOSE(CONTROL!$C$22, $C$13, 100%, $E$13)</f>
        <v>5.7020999999999997</v>
      </c>
      <c r="I65" s="61">
        <f>5.7023 * CHOOSE(CONTROL!$C$22, $C$13, 100%, $E$13)</f>
        <v>5.7023000000000001</v>
      </c>
      <c r="J65" s="61">
        <f>2.6809 * CHOOSE(CONTROL!$C$22, $C$13, 100%, $E$13)</f>
        <v>2.6808999999999998</v>
      </c>
      <c r="K65" s="61">
        <f>2.6811 * CHOOSE(CONTROL!$C$22, $C$13, 100%, $E$13)</f>
        <v>2.6810999999999998</v>
      </c>
      <c r="L65" s="4"/>
      <c r="M65" s="4"/>
      <c r="N65" s="4"/>
    </row>
    <row r="66" spans="1:14" ht="15">
      <c r="A66" s="13">
        <v>43862</v>
      </c>
      <c r="B66" s="60">
        <f>2.6854 * CHOOSE(CONTROL!$C$22, $C$13, 100%, $E$13)</f>
        <v>2.6854</v>
      </c>
      <c r="C66" s="60">
        <f>2.6854 * CHOOSE(CONTROL!$C$22, $C$13, 100%, $E$13)</f>
        <v>2.6854</v>
      </c>
      <c r="D66" s="60">
        <f>2.7042 * CHOOSE(CONTROL!$C$22, $C$13, 100%, $E$13)</f>
        <v>2.7042000000000002</v>
      </c>
      <c r="E66" s="61">
        <f>2.6621 * CHOOSE(CONTROL!$C$22, $C$13, 100%, $E$13)</f>
        <v>2.6621000000000001</v>
      </c>
      <c r="F66" s="61">
        <f>2.6621 * CHOOSE(CONTROL!$C$22, $C$13, 100%, $E$13)</f>
        <v>2.6621000000000001</v>
      </c>
      <c r="G66" s="61">
        <f>2.6623 * CHOOSE(CONTROL!$C$22, $C$13, 100%, $E$13)</f>
        <v>2.6623000000000001</v>
      </c>
      <c r="H66" s="61">
        <f>5.714* CHOOSE(CONTROL!$C$22, $C$13, 100%, $E$13)</f>
        <v>5.7140000000000004</v>
      </c>
      <c r="I66" s="61">
        <f>5.7141 * CHOOSE(CONTROL!$C$22, $C$13, 100%, $E$13)</f>
        <v>5.7141000000000002</v>
      </c>
      <c r="J66" s="61">
        <f>2.6621 * CHOOSE(CONTROL!$C$22, $C$13, 100%, $E$13)</f>
        <v>2.6621000000000001</v>
      </c>
      <c r="K66" s="61">
        <f>2.6623 * CHOOSE(CONTROL!$C$22, $C$13, 100%, $E$13)</f>
        <v>2.6623000000000001</v>
      </c>
      <c r="L66" s="4"/>
      <c r="M66" s="4"/>
      <c r="N66" s="4"/>
    </row>
    <row r="67" spans="1:14" ht="15">
      <c r="A67" s="13">
        <v>43891</v>
      </c>
      <c r="B67" s="60">
        <f>2.6823 * CHOOSE(CONTROL!$C$22, $C$13, 100%, $E$13)</f>
        <v>2.6823000000000001</v>
      </c>
      <c r="C67" s="60">
        <f>2.6823 * CHOOSE(CONTROL!$C$22, $C$13, 100%, $E$13)</f>
        <v>2.6823000000000001</v>
      </c>
      <c r="D67" s="60">
        <f>2.7012 * CHOOSE(CONTROL!$C$22, $C$13, 100%, $E$13)</f>
        <v>2.7012</v>
      </c>
      <c r="E67" s="61">
        <f>2.6731 * CHOOSE(CONTROL!$C$22, $C$13, 100%, $E$13)</f>
        <v>2.6730999999999998</v>
      </c>
      <c r="F67" s="61">
        <f>2.6731 * CHOOSE(CONTROL!$C$22, $C$13, 100%, $E$13)</f>
        <v>2.6730999999999998</v>
      </c>
      <c r="G67" s="61">
        <f>2.6733 * CHOOSE(CONTROL!$C$22, $C$13, 100%, $E$13)</f>
        <v>2.6732999999999998</v>
      </c>
      <c r="H67" s="61">
        <f>5.7259* CHOOSE(CONTROL!$C$22, $C$13, 100%, $E$13)</f>
        <v>5.7259000000000002</v>
      </c>
      <c r="I67" s="61">
        <f>5.726 * CHOOSE(CONTROL!$C$22, $C$13, 100%, $E$13)</f>
        <v>5.726</v>
      </c>
      <c r="J67" s="61">
        <f>2.6731 * CHOOSE(CONTROL!$C$22, $C$13, 100%, $E$13)</f>
        <v>2.6730999999999998</v>
      </c>
      <c r="K67" s="61">
        <f>2.6733 * CHOOSE(CONTROL!$C$22, $C$13, 100%, $E$13)</f>
        <v>2.6732999999999998</v>
      </c>
      <c r="L67" s="4"/>
      <c r="M67" s="4"/>
      <c r="N67" s="4"/>
    </row>
    <row r="68" spans="1:14" ht="15">
      <c r="A68" s="13">
        <v>43922</v>
      </c>
      <c r="B68" s="60">
        <f>2.6788 * CHOOSE(CONTROL!$C$22, $C$13, 100%, $E$13)</f>
        <v>2.6787999999999998</v>
      </c>
      <c r="C68" s="60">
        <f>2.6788 * CHOOSE(CONTROL!$C$22, $C$13, 100%, $E$13)</f>
        <v>2.6787999999999998</v>
      </c>
      <c r="D68" s="60">
        <f>2.6976 * CHOOSE(CONTROL!$C$22, $C$13, 100%, $E$13)</f>
        <v>2.6976</v>
      </c>
      <c r="E68" s="61">
        <f>2.683 * CHOOSE(CONTROL!$C$22, $C$13, 100%, $E$13)</f>
        <v>2.6829999999999998</v>
      </c>
      <c r="F68" s="61">
        <f>2.683 * CHOOSE(CONTROL!$C$22, $C$13, 100%, $E$13)</f>
        <v>2.6829999999999998</v>
      </c>
      <c r="G68" s="61">
        <f>2.6832 * CHOOSE(CONTROL!$C$22, $C$13, 100%, $E$13)</f>
        <v>2.6831999999999998</v>
      </c>
      <c r="H68" s="61">
        <f>5.7378* CHOOSE(CONTROL!$C$22, $C$13, 100%, $E$13)</f>
        <v>5.7378</v>
      </c>
      <c r="I68" s="61">
        <f>5.738 * CHOOSE(CONTROL!$C$22, $C$13, 100%, $E$13)</f>
        <v>5.7380000000000004</v>
      </c>
      <c r="J68" s="61">
        <f>2.683 * CHOOSE(CONTROL!$C$22, $C$13, 100%, $E$13)</f>
        <v>2.6829999999999998</v>
      </c>
      <c r="K68" s="61">
        <f>2.6832 * CHOOSE(CONTROL!$C$22, $C$13, 100%, $E$13)</f>
        <v>2.6831999999999998</v>
      </c>
      <c r="L68" s="4"/>
      <c r="M68" s="4"/>
      <c r="N68" s="4"/>
    </row>
    <row r="69" spans="1:14" ht="15">
      <c r="A69" s="13">
        <v>43952</v>
      </c>
      <c r="B69" s="60">
        <f>2.6788 * CHOOSE(CONTROL!$C$22, $C$13, 100%, $E$13)</f>
        <v>2.6787999999999998</v>
      </c>
      <c r="C69" s="60">
        <f>2.6788 * CHOOSE(CONTROL!$C$22, $C$13, 100%, $E$13)</f>
        <v>2.6787999999999998</v>
      </c>
      <c r="D69" s="60">
        <f>2.7164 * CHOOSE(CONTROL!$C$22, $C$13, 100%, $E$13)</f>
        <v>2.7164000000000001</v>
      </c>
      <c r="E69" s="61">
        <f>2.6883 * CHOOSE(CONTROL!$C$22, $C$13, 100%, $E$13)</f>
        <v>2.6882999999999999</v>
      </c>
      <c r="F69" s="61">
        <f>2.6883 * CHOOSE(CONTROL!$C$22, $C$13, 100%, $E$13)</f>
        <v>2.6882999999999999</v>
      </c>
      <c r="G69" s="61">
        <f>2.6906 * CHOOSE(CONTROL!$C$22, $C$13, 100%, $E$13)</f>
        <v>2.6905999999999999</v>
      </c>
      <c r="H69" s="61">
        <f>5.7498* CHOOSE(CONTROL!$C$22, $C$13, 100%, $E$13)</f>
        <v>5.7497999999999996</v>
      </c>
      <c r="I69" s="61">
        <f>5.7521 * CHOOSE(CONTROL!$C$22, $C$13, 100%, $E$13)</f>
        <v>5.7521000000000004</v>
      </c>
      <c r="J69" s="61">
        <f>2.6883 * CHOOSE(CONTROL!$C$22, $C$13, 100%, $E$13)</f>
        <v>2.6882999999999999</v>
      </c>
      <c r="K69" s="61">
        <f>2.6906 * CHOOSE(CONTROL!$C$22, $C$13, 100%, $E$13)</f>
        <v>2.6905999999999999</v>
      </c>
      <c r="L69" s="4"/>
      <c r="M69" s="4"/>
      <c r="N69" s="4"/>
    </row>
    <row r="70" spans="1:14" ht="15">
      <c r="A70" s="13">
        <v>43983</v>
      </c>
      <c r="B70" s="60">
        <f>2.6848 * CHOOSE(CONTROL!$C$22, $C$13, 100%, $E$13)</f>
        <v>2.6848000000000001</v>
      </c>
      <c r="C70" s="60">
        <f>2.6848 * CHOOSE(CONTROL!$C$22, $C$13, 100%, $E$13)</f>
        <v>2.6848000000000001</v>
      </c>
      <c r="D70" s="60">
        <f>2.7225 * CHOOSE(CONTROL!$C$22, $C$13, 100%, $E$13)</f>
        <v>2.7225000000000001</v>
      </c>
      <c r="E70" s="61">
        <f>2.6872 * CHOOSE(CONTROL!$C$22, $C$13, 100%, $E$13)</f>
        <v>2.6871999999999998</v>
      </c>
      <c r="F70" s="61">
        <f>2.6872 * CHOOSE(CONTROL!$C$22, $C$13, 100%, $E$13)</f>
        <v>2.6871999999999998</v>
      </c>
      <c r="G70" s="61">
        <f>2.6895 * CHOOSE(CONTROL!$C$22, $C$13, 100%, $E$13)</f>
        <v>2.6894999999999998</v>
      </c>
      <c r="H70" s="61">
        <f>5.7617* CHOOSE(CONTROL!$C$22, $C$13, 100%, $E$13)</f>
        <v>5.7617000000000003</v>
      </c>
      <c r="I70" s="61">
        <f>5.764 * CHOOSE(CONTROL!$C$22, $C$13, 100%, $E$13)</f>
        <v>5.7640000000000002</v>
      </c>
      <c r="J70" s="61">
        <f>2.6872 * CHOOSE(CONTROL!$C$22, $C$13, 100%, $E$13)</f>
        <v>2.6871999999999998</v>
      </c>
      <c r="K70" s="61">
        <f>2.6895 * CHOOSE(CONTROL!$C$22, $C$13, 100%, $E$13)</f>
        <v>2.6894999999999998</v>
      </c>
      <c r="L70" s="4"/>
      <c r="M70" s="4"/>
      <c r="N70" s="4"/>
    </row>
    <row r="71" spans="1:14" ht="15">
      <c r="A71" s="13">
        <v>44013</v>
      </c>
      <c r="B71" s="60">
        <f>2.7801 * CHOOSE(CONTROL!$C$22, $C$13, 100%, $E$13)</f>
        <v>2.7801</v>
      </c>
      <c r="C71" s="60">
        <f>2.7801 * CHOOSE(CONTROL!$C$22, $C$13, 100%, $E$13)</f>
        <v>2.7801</v>
      </c>
      <c r="D71" s="60">
        <f>2.8177 * CHOOSE(CONTROL!$C$22, $C$13, 100%, $E$13)</f>
        <v>2.8176999999999999</v>
      </c>
      <c r="E71" s="61">
        <f>2.8193 * CHOOSE(CONTROL!$C$22, $C$13, 100%, $E$13)</f>
        <v>2.8193000000000001</v>
      </c>
      <c r="F71" s="61">
        <f>2.8193 * CHOOSE(CONTROL!$C$22, $C$13, 100%, $E$13)</f>
        <v>2.8193000000000001</v>
      </c>
      <c r="G71" s="61">
        <f>2.8216 * CHOOSE(CONTROL!$C$22, $C$13, 100%, $E$13)</f>
        <v>2.8216000000000001</v>
      </c>
      <c r="H71" s="61">
        <f>5.7737* CHOOSE(CONTROL!$C$22, $C$13, 100%, $E$13)</f>
        <v>5.7736999999999998</v>
      </c>
      <c r="I71" s="61">
        <f>5.7761 * CHOOSE(CONTROL!$C$22, $C$13, 100%, $E$13)</f>
        <v>5.7760999999999996</v>
      </c>
      <c r="J71" s="61">
        <f>2.8193 * CHOOSE(CONTROL!$C$22, $C$13, 100%, $E$13)</f>
        <v>2.8193000000000001</v>
      </c>
      <c r="K71" s="61">
        <f>2.8216 * CHOOSE(CONTROL!$C$22, $C$13, 100%, $E$13)</f>
        <v>2.8216000000000001</v>
      </c>
      <c r="L71" s="4"/>
      <c r="M71" s="4"/>
      <c r="N71" s="4"/>
    </row>
    <row r="72" spans="1:14" ht="15">
      <c r="A72" s="13">
        <v>44044</v>
      </c>
      <c r="B72" s="60">
        <f>2.7867 * CHOOSE(CONTROL!$C$22, $C$13, 100%, $E$13)</f>
        <v>2.7867000000000002</v>
      </c>
      <c r="C72" s="60">
        <f>2.7867 * CHOOSE(CONTROL!$C$22, $C$13, 100%, $E$13)</f>
        <v>2.7867000000000002</v>
      </c>
      <c r="D72" s="60">
        <f>2.8244 * CHOOSE(CONTROL!$C$22, $C$13, 100%, $E$13)</f>
        <v>2.8243999999999998</v>
      </c>
      <c r="E72" s="61">
        <f>2.8081 * CHOOSE(CONTROL!$C$22, $C$13, 100%, $E$13)</f>
        <v>2.8081</v>
      </c>
      <c r="F72" s="61">
        <f>2.8081 * CHOOSE(CONTROL!$C$22, $C$13, 100%, $E$13)</f>
        <v>2.8081</v>
      </c>
      <c r="G72" s="61">
        <f>2.8104 * CHOOSE(CONTROL!$C$22, $C$13, 100%, $E$13)</f>
        <v>2.8104</v>
      </c>
      <c r="H72" s="61">
        <f>5.7858* CHOOSE(CONTROL!$C$22, $C$13, 100%, $E$13)</f>
        <v>5.7858000000000001</v>
      </c>
      <c r="I72" s="61">
        <f>5.7881 * CHOOSE(CONTROL!$C$22, $C$13, 100%, $E$13)</f>
        <v>5.7881</v>
      </c>
      <c r="J72" s="61">
        <f>2.8081 * CHOOSE(CONTROL!$C$22, $C$13, 100%, $E$13)</f>
        <v>2.8081</v>
      </c>
      <c r="K72" s="61">
        <f>2.8104 * CHOOSE(CONTROL!$C$22, $C$13, 100%, $E$13)</f>
        <v>2.8104</v>
      </c>
      <c r="L72" s="4"/>
      <c r="M72" s="4"/>
      <c r="N72" s="4"/>
    </row>
    <row r="73" spans="1:14" ht="15">
      <c r="A73" s="13">
        <v>44075</v>
      </c>
      <c r="B73" s="60">
        <f>2.7837 * CHOOSE(CONTROL!$C$22, $C$13, 100%, $E$13)</f>
        <v>2.7837000000000001</v>
      </c>
      <c r="C73" s="60">
        <f>2.7837 * CHOOSE(CONTROL!$C$22, $C$13, 100%, $E$13)</f>
        <v>2.7837000000000001</v>
      </c>
      <c r="D73" s="60">
        <f>2.8213 * CHOOSE(CONTROL!$C$22, $C$13, 100%, $E$13)</f>
        <v>2.8212999999999999</v>
      </c>
      <c r="E73" s="61">
        <f>2.8042 * CHOOSE(CONTROL!$C$22, $C$13, 100%, $E$13)</f>
        <v>2.8041999999999998</v>
      </c>
      <c r="F73" s="61">
        <f>2.8042 * CHOOSE(CONTROL!$C$22, $C$13, 100%, $E$13)</f>
        <v>2.8041999999999998</v>
      </c>
      <c r="G73" s="61">
        <f>2.8065 * CHOOSE(CONTROL!$C$22, $C$13, 100%, $E$13)</f>
        <v>2.8065000000000002</v>
      </c>
      <c r="H73" s="61">
        <f>5.7978* CHOOSE(CONTROL!$C$22, $C$13, 100%, $E$13)</f>
        <v>5.7977999999999996</v>
      </c>
      <c r="I73" s="61">
        <f>5.8001 * CHOOSE(CONTROL!$C$22, $C$13, 100%, $E$13)</f>
        <v>5.8000999999999996</v>
      </c>
      <c r="J73" s="61">
        <f>2.8042 * CHOOSE(CONTROL!$C$22, $C$13, 100%, $E$13)</f>
        <v>2.8041999999999998</v>
      </c>
      <c r="K73" s="61">
        <f>2.8065 * CHOOSE(CONTROL!$C$22, $C$13, 100%, $E$13)</f>
        <v>2.8065000000000002</v>
      </c>
      <c r="L73" s="4"/>
      <c r="M73" s="4"/>
      <c r="N73" s="4"/>
    </row>
    <row r="74" spans="1:14" ht="15">
      <c r="A74" s="13">
        <v>44105</v>
      </c>
      <c r="B74" s="60">
        <f>2.7743 * CHOOSE(CONTROL!$C$22, $C$13, 100%, $E$13)</f>
        <v>2.7743000000000002</v>
      </c>
      <c r="C74" s="60">
        <f>2.7743 * CHOOSE(CONTROL!$C$22, $C$13, 100%, $E$13)</f>
        <v>2.7743000000000002</v>
      </c>
      <c r="D74" s="60">
        <f>2.7931 * CHOOSE(CONTROL!$C$22, $C$13, 100%, $E$13)</f>
        <v>2.7930999999999999</v>
      </c>
      <c r="E74" s="61">
        <f>2.7978 * CHOOSE(CONTROL!$C$22, $C$13, 100%, $E$13)</f>
        <v>2.7978000000000001</v>
      </c>
      <c r="F74" s="61">
        <f>2.7978 * CHOOSE(CONTROL!$C$22, $C$13, 100%, $E$13)</f>
        <v>2.7978000000000001</v>
      </c>
      <c r="G74" s="61">
        <f>2.798 * CHOOSE(CONTROL!$C$22, $C$13, 100%, $E$13)</f>
        <v>2.798</v>
      </c>
      <c r="H74" s="61">
        <f>5.8099* CHOOSE(CONTROL!$C$22, $C$13, 100%, $E$13)</f>
        <v>5.8098999999999998</v>
      </c>
      <c r="I74" s="61">
        <f>5.8101 * CHOOSE(CONTROL!$C$22, $C$13, 100%, $E$13)</f>
        <v>5.8101000000000003</v>
      </c>
      <c r="J74" s="61">
        <f>2.7978 * CHOOSE(CONTROL!$C$22, $C$13, 100%, $E$13)</f>
        <v>2.7978000000000001</v>
      </c>
      <c r="K74" s="61">
        <f>2.798 * CHOOSE(CONTROL!$C$22, $C$13, 100%, $E$13)</f>
        <v>2.798</v>
      </c>
      <c r="L74" s="4"/>
      <c r="M74" s="4"/>
      <c r="N74" s="4"/>
    </row>
    <row r="75" spans="1:14" ht="15">
      <c r="A75" s="13">
        <v>44136</v>
      </c>
      <c r="B75" s="60">
        <f>2.7773 * CHOOSE(CONTROL!$C$22, $C$13, 100%, $E$13)</f>
        <v>2.7772999999999999</v>
      </c>
      <c r="C75" s="60">
        <f>2.7773 * CHOOSE(CONTROL!$C$22, $C$13, 100%, $E$13)</f>
        <v>2.7772999999999999</v>
      </c>
      <c r="D75" s="60">
        <f>2.7961 * CHOOSE(CONTROL!$C$22, $C$13, 100%, $E$13)</f>
        <v>2.7961</v>
      </c>
      <c r="E75" s="61">
        <f>2.8035 * CHOOSE(CONTROL!$C$22, $C$13, 100%, $E$13)</f>
        <v>2.8035000000000001</v>
      </c>
      <c r="F75" s="61">
        <f>2.8035 * CHOOSE(CONTROL!$C$22, $C$13, 100%, $E$13)</f>
        <v>2.8035000000000001</v>
      </c>
      <c r="G75" s="61">
        <f>2.8036 * CHOOSE(CONTROL!$C$22, $C$13, 100%, $E$13)</f>
        <v>2.8035999999999999</v>
      </c>
      <c r="H75" s="61">
        <f>5.822* CHOOSE(CONTROL!$C$22, $C$13, 100%, $E$13)</f>
        <v>5.8220000000000001</v>
      </c>
      <c r="I75" s="61">
        <f>5.8222 * CHOOSE(CONTROL!$C$22, $C$13, 100%, $E$13)</f>
        <v>5.8221999999999996</v>
      </c>
      <c r="J75" s="61">
        <f>2.8035 * CHOOSE(CONTROL!$C$22, $C$13, 100%, $E$13)</f>
        <v>2.8035000000000001</v>
      </c>
      <c r="K75" s="61">
        <f>2.8036 * CHOOSE(CONTROL!$C$22, $C$13, 100%, $E$13)</f>
        <v>2.8035999999999999</v>
      </c>
      <c r="L75" s="4"/>
      <c r="M75" s="4"/>
      <c r="N75" s="4"/>
    </row>
    <row r="76" spans="1:14" ht="15">
      <c r="A76" s="13">
        <v>44166</v>
      </c>
      <c r="B76" s="60">
        <f>2.7773 * CHOOSE(CONTROL!$C$22, $C$13, 100%, $E$13)</f>
        <v>2.7772999999999999</v>
      </c>
      <c r="C76" s="60">
        <f>2.7773 * CHOOSE(CONTROL!$C$22, $C$13, 100%, $E$13)</f>
        <v>2.7772999999999999</v>
      </c>
      <c r="D76" s="60">
        <f>2.7961 * CHOOSE(CONTROL!$C$22, $C$13, 100%, $E$13)</f>
        <v>2.7961</v>
      </c>
      <c r="E76" s="61">
        <f>2.7946 * CHOOSE(CONTROL!$C$22, $C$13, 100%, $E$13)</f>
        <v>2.7946</v>
      </c>
      <c r="F76" s="61">
        <f>2.7946 * CHOOSE(CONTROL!$C$22, $C$13, 100%, $E$13)</f>
        <v>2.7946</v>
      </c>
      <c r="G76" s="61">
        <f>2.7948 * CHOOSE(CONTROL!$C$22, $C$13, 100%, $E$13)</f>
        <v>2.7948</v>
      </c>
      <c r="H76" s="61">
        <f>5.8341* CHOOSE(CONTROL!$C$22, $C$13, 100%, $E$13)</f>
        <v>5.8341000000000003</v>
      </c>
      <c r="I76" s="61">
        <f>5.8343 * CHOOSE(CONTROL!$C$22, $C$13, 100%, $E$13)</f>
        <v>5.8342999999999998</v>
      </c>
      <c r="J76" s="61">
        <f>2.7946 * CHOOSE(CONTROL!$C$22, $C$13, 100%, $E$13)</f>
        <v>2.7946</v>
      </c>
      <c r="K76" s="61">
        <f>2.7948 * CHOOSE(CONTROL!$C$22, $C$13, 100%, $E$13)</f>
        <v>2.7948</v>
      </c>
      <c r="L76" s="4"/>
      <c r="M76" s="4"/>
      <c r="N76" s="4"/>
    </row>
    <row r="77" spans="1:14" ht="15">
      <c r="A77" s="13">
        <v>44197</v>
      </c>
      <c r="B77" s="60">
        <f>2.8122 * CHOOSE(CONTROL!$C$22, $C$13, 100%, $E$13)</f>
        <v>2.8121999999999998</v>
      </c>
      <c r="C77" s="60">
        <f>2.8122 * CHOOSE(CONTROL!$C$22, $C$13, 100%, $E$13)</f>
        <v>2.8121999999999998</v>
      </c>
      <c r="D77" s="60">
        <f>2.831 * CHOOSE(CONTROL!$C$22, $C$13, 100%, $E$13)</f>
        <v>2.831</v>
      </c>
      <c r="E77" s="61">
        <f>2.8576 * CHOOSE(CONTROL!$C$22, $C$13, 100%, $E$13)</f>
        <v>2.8576000000000001</v>
      </c>
      <c r="F77" s="61">
        <f>2.8576 * CHOOSE(CONTROL!$C$22, $C$13, 100%, $E$13)</f>
        <v>2.8576000000000001</v>
      </c>
      <c r="G77" s="61">
        <f>2.8578 * CHOOSE(CONTROL!$C$22, $C$13, 100%, $E$13)</f>
        <v>2.8578000000000001</v>
      </c>
      <c r="H77" s="61">
        <f>5.8463* CHOOSE(CONTROL!$C$22, $C$13, 100%, $E$13)</f>
        <v>5.8463000000000003</v>
      </c>
      <c r="I77" s="61">
        <f>5.8465 * CHOOSE(CONTROL!$C$22, $C$13, 100%, $E$13)</f>
        <v>5.8464999999999998</v>
      </c>
      <c r="J77" s="61">
        <f>2.8576 * CHOOSE(CONTROL!$C$22, $C$13, 100%, $E$13)</f>
        <v>2.8576000000000001</v>
      </c>
      <c r="K77" s="61">
        <f>2.8578 * CHOOSE(CONTROL!$C$22, $C$13, 100%, $E$13)</f>
        <v>2.8578000000000001</v>
      </c>
      <c r="L77" s="4"/>
      <c r="M77" s="4"/>
      <c r="N77" s="4"/>
    </row>
    <row r="78" spans="1:14" ht="15">
      <c r="A78" s="13">
        <v>44228</v>
      </c>
      <c r="B78" s="60">
        <f>2.8091 * CHOOSE(CONTROL!$C$22, $C$13, 100%, $E$13)</f>
        <v>2.8090999999999999</v>
      </c>
      <c r="C78" s="60">
        <f>2.8091 * CHOOSE(CONTROL!$C$22, $C$13, 100%, $E$13)</f>
        <v>2.8090999999999999</v>
      </c>
      <c r="D78" s="60">
        <f>2.8279 * CHOOSE(CONTROL!$C$22, $C$13, 100%, $E$13)</f>
        <v>2.8279000000000001</v>
      </c>
      <c r="E78" s="61">
        <f>2.8354 * CHOOSE(CONTROL!$C$22, $C$13, 100%, $E$13)</f>
        <v>2.8353999999999999</v>
      </c>
      <c r="F78" s="61">
        <f>2.8354 * CHOOSE(CONTROL!$C$22, $C$13, 100%, $E$13)</f>
        <v>2.8353999999999999</v>
      </c>
      <c r="G78" s="61">
        <f>2.8356 * CHOOSE(CONTROL!$C$22, $C$13, 100%, $E$13)</f>
        <v>2.8355999999999999</v>
      </c>
      <c r="H78" s="61">
        <f>5.8585* CHOOSE(CONTROL!$C$22, $C$13, 100%, $E$13)</f>
        <v>5.8585000000000003</v>
      </c>
      <c r="I78" s="61">
        <f>5.8586 * CHOOSE(CONTROL!$C$22, $C$13, 100%, $E$13)</f>
        <v>5.8586</v>
      </c>
      <c r="J78" s="61">
        <f>2.8354 * CHOOSE(CONTROL!$C$22, $C$13, 100%, $E$13)</f>
        <v>2.8353999999999999</v>
      </c>
      <c r="K78" s="61">
        <f>2.8356 * CHOOSE(CONTROL!$C$22, $C$13, 100%, $E$13)</f>
        <v>2.8355999999999999</v>
      </c>
      <c r="L78" s="4"/>
      <c r="M78" s="4"/>
      <c r="N78" s="4"/>
    </row>
    <row r="79" spans="1:14" ht="15">
      <c r="A79" s="13">
        <v>44256</v>
      </c>
      <c r="B79" s="60">
        <f>2.8061 * CHOOSE(CONTROL!$C$22, $C$13, 100%, $E$13)</f>
        <v>2.8060999999999998</v>
      </c>
      <c r="C79" s="60">
        <f>2.8061 * CHOOSE(CONTROL!$C$22, $C$13, 100%, $E$13)</f>
        <v>2.8060999999999998</v>
      </c>
      <c r="D79" s="60">
        <f>2.8249 * CHOOSE(CONTROL!$C$22, $C$13, 100%, $E$13)</f>
        <v>2.8249</v>
      </c>
      <c r="E79" s="61">
        <f>2.8491 * CHOOSE(CONTROL!$C$22, $C$13, 100%, $E$13)</f>
        <v>2.8491</v>
      </c>
      <c r="F79" s="61">
        <f>2.8491 * CHOOSE(CONTROL!$C$22, $C$13, 100%, $E$13)</f>
        <v>2.8491</v>
      </c>
      <c r="G79" s="61">
        <f>2.8493 * CHOOSE(CONTROL!$C$22, $C$13, 100%, $E$13)</f>
        <v>2.8492999999999999</v>
      </c>
      <c r="H79" s="61">
        <f>5.8707* CHOOSE(CONTROL!$C$22, $C$13, 100%, $E$13)</f>
        <v>5.8707000000000003</v>
      </c>
      <c r="I79" s="61">
        <f>5.8708 * CHOOSE(CONTROL!$C$22, $C$13, 100%, $E$13)</f>
        <v>5.8708</v>
      </c>
      <c r="J79" s="61">
        <f>2.8491 * CHOOSE(CONTROL!$C$22, $C$13, 100%, $E$13)</f>
        <v>2.8491</v>
      </c>
      <c r="K79" s="61">
        <f>2.8493 * CHOOSE(CONTROL!$C$22, $C$13, 100%, $E$13)</f>
        <v>2.8492999999999999</v>
      </c>
      <c r="L79" s="4"/>
      <c r="M79" s="4"/>
      <c r="N79" s="4"/>
    </row>
    <row r="80" spans="1:14" ht="15">
      <c r="A80" s="13">
        <v>44287</v>
      </c>
      <c r="B80" s="60">
        <f>2.8026 * CHOOSE(CONTROL!$C$22, $C$13, 100%, $E$13)</f>
        <v>2.8026</v>
      </c>
      <c r="C80" s="60">
        <f>2.8026 * CHOOSE(CONTROL!$C$22, $C$13, 100%, $E$13)</f>
        <v>2.8026</v>
      </c>
      <c r="D80" s="60">
        <f>2.8214 * CHOOSE(CONTROL!$C$22, $C$13, 100%, $E$13)</f>
        <v>2.8214000000000001</v>
      </c>
      <c r="E80" s="61">
        <f>2.8619 * CHOOSE(CONTROL!$C$22, $C$13, 100%, $E$13)</f>
        <v>2.8618999999999999</v>
      </c>
      <c r="F80" s="61">
        <f>2.8619 * CHOOSE(CONTROL!$C$22, $C$13, 100%, $E$13)</f>
        <v>2.8618999999999999</v>
      </c>
      <c r="G80" s="61">
        <f>2.8621 * CHOOSE(CONTROL!$C$22, $C$13, 100%, $E$13)</f>
        <v>2.8620999999999999</v>
      </c>
      <c r="H80" s="61">
        <f>5.8829* CHOOSE(CONTROL!$C$22, $C$13, 100%, $E$13)</f>
        <v>5.8829000000000002</v>
      </c>
      <c r="I80" s="61">
        <f>5.8831 * CHOOSE(CONTROL!$C$22, $C$13, 100%, $E$13)</f>
        <v>5.8830999999999998</v>
      </c>
      <c r="J80" s="61">
        <f>2.8619 * CHOOSE(CONTROL!$C$22, $C$13, 100%, $E$13)</f>
        <v>2.8618999999999999</v>
      </c>
      <c r="K80" s="61">
        <f>2.8621 * CHOOSE(CONTROL!$C$22, $C$13, 100%, $E$13)</f>
        <v>2.8620999999999999</v>
      </c>
      <c r="L80" s="4"/>
      <c r="M80" s="4"/>
      <c r="N80" s="4"/>
    </row>
    <row r="81" spans="1:14" ht="15">
      <c r="A81" s="13">
        <v>44317</v>
      </c>
      <c r="B81" s="60">
        <f>2.8026 * CHOOSE(CONTROL!$C$22, $C$13, 100%, $E$13)</f>
        <v>2.8026</v>
      </c>
      <c r="C81" s="60">
        <f>2.8026 * CHOOSE(CONTROL!$C$22, $C$13, 100%, $E$13)</f>
        <v>2.8026</v>
      </c>
      <c r="D81" s="60">
        <f>2.8402 * CHOOSE(CONTROL!$C$22, $C$13, 100%, $E$13)</f>
        <v>2.8401999999999998</v>
      </c>
      <c r="E81" s="61">
        <f>2.8683 * CHOOSE(CONTROL!$C$22, $C$13, 100%, $E$13)</f>
        <v>2.8683000000000001</v>
      </c>
      <c r="F81" s="61">
        <f>2.8683 * CHOOSE(CONTROL!$C$22, $C$13, 100%, $E$13)</f>
        <v>2.8683000000000001</v>
      </c>
      <c r="G81" s="61">
        <f>2.8706 * CHOOSE(CONTROL!$C$22, $C$13, 100%, $E$13)</f>
        <v>2.8706</v>
      </c>
      <c r="H81" s="61">
        <f>5.8952* CHOOSE(CONTROL!$C$22, $C$13, 100%, $E$13)</f>
        <v>5.8952</v>
      </c>
      <c r="I81" s="61">
        <f>5.8975 * CHOOSE(CONTROL!$C$22, $C$13, 100%, $E$13)</f>
        <v>5.8975</v>
      </c>
      <c r="J81" s="61">
        <f>2.8683 * CHOOSE(CONTROL!$C$22, $C$13, 100%, $E$13)</f>
        <v>2.8683000000000001</v>
      </c>
      <c r="K81" s="61">
        <f>2.8706 * CHOOSE(CONTROL!$C$22, $C$13, 100%, $E$13)</f>
        <v>2.8706</v>
      </c>
      <c r="L81" s="4"/>
      <c r="M81" s="4"/>
      <c r="N81" s="4"/>
    </row>
    <row r="82" spans="1:14" ht="15">
      <c r="A82" s="13">
        <v>44348</v>
      </c>
      <c r="B82" s="60">
        <f>2.8087 * CHOOSE(CONTROL!$C$22, $C$13, 100%, $E$13)</f>
        <v>2.8087</v>
      </c>
      <c r="C82" s="60">
        <f>2.8087 * CHOOSE(CONTROL!$C$22, $C$13, 100%, $E$13)</f>
        <v>2.8087</v>
      </c>
      <c r="D82" s="60">
        <f>2.8463 * CHOOSE(CONTROL!$C$22, $C$13, 100%, $E$13)</f>
        <v>2.8462999999999998</v>
      </c>
      <c r="E82" s="61">
        <f>2.8661 * CHOOSE(CONTROL!$C$22, $C$13, 100%, $E$13)</f>
        <v>2.8660999999999999</v>
      </c>
      <c r="F82" s="61">
        <f>2.8661 * CHOOSE(CONTROL!$C$22, $C$13, 100%, $E$13)</f>
        <v>2.8660999999999999</v>
      </c>
      <c r="G82" s="61">
        <f>2.8684 * CHOOSE(CONTROL!$C$22, $C$13, 100%, $E$13)</f>
        <v>2.8683999999999998</v>
      </c>
      <c r="H82" s="61">
        <f>5.9074* CHOOSE(CONTROL!$C$22, $C$13, 100%, $E$13)</f>
        <v>5.9074</v>
      </c>
      <c r="I82" s="61">
        <f>5.9098 * CHOOSE(CONTROL!$C$22, $C$13, 100%, $E$13)</f>
        <v>5.9097999999999997</v>
      </c>
      <c r="J82" s="61">
        <f>2.8661 * CHOOSE(CONTROL!$C$22, $C$13, 100%, $E$13)</f>
        <v>2.8660999999999999</v>
      </c>
      <c r="K82" s="61">
        <f>2.8684 * CHOOSE(CONTROL!$C$22, $C$13, 100%, $E$13)</f>
        <v>2.8683999999999998</v>
      </c>
      <c r="L82" s="4"/>
      <c r="M82" s="4"/>
      <c r="N82" s="4"/>
    </row>
    <row r="83" spans="1:14" ht="15">
      <c r="A83" s="13">
        <v>44378</v>
      </c>
      <c r="B83" s="60">
        <f>2.8711 * CHOOSE(CONTROL!$C$22, $C$13, 100%, $E$13)</f>
        <v>2.8711000000000002</v>
      </c>
      <c r="C83" s="60">
        <f>2.8711 * CHOOSE(CONTROL!$C$22, $C$13, 100%, $E$13)</f>
        <v>2.8711000000000002</v>
      </c>
      <c r="D83" s="60">
        <f>2.9088 * CHOOSE(CONTROL!$C$22, $C$13, 100%, $E$13)</f>
        <v>2.9087999999999998</v>
      </c>
      <c r="E83" s="61">
        <f>2.9281 * CHOOSE(CONTROL!$C$22, $C$13, 100%, $E$13)</f>
        <v>2.9281000000000001</v>
      </c>
      <c r="F83" s="61">
        <f>2.9281 * CHOOSE(CONTROL!$C$22, $C$13, 100%, $E$13)</f>
        <v>2.9281000000000001</v>
      </c>
      <c r="G83" s="61">
        <f>2.9304 * CHOOSE(CONTROL!$C$22, $C$13, 100%, $E$13)</f>
        <v>2.9304000000000001</v>
      </c>
      <c r="H83" s="61">
        <f>5.9197* CHOOSE(CONTROL!$C$22, $C$13, 100%, $E$13)</f>
        <v>5.9196999999999997</v>
      </c>
      <c r="I83" s="61">
        <f>5.9221 * CHOOSE(CONTROL!$C$22, $C$13, 100%, $E$13)</f>
        <v>5.9221000000000004</v>
      </c>
      <c r="J83" s="61">
        <f>2.9281 * CHOOSE(CONTROL!$C$22, $C$13, 100%, $E$13)</f>
        <v>2.9281000000000001</v>
      </c>
      <c r="K83" s="61">
        <f>2.9304 * CHOOSE(CONTROL!$C$22, $C$13, 100%, $E$13)</f>
        <v>2.9304000000000001</v>
      </c>
      <c r="L83" s="4"/>
      <c r="M83" s="4"/>
      <c r="N83" s="4"/>
    </row>
    <row r="84" spans="1:14" ht="15">
      <c r="A84" s="13">
        <v>44409</v>
      </c>
      <c r="B84" s="60">
        <f>2.8778 * CHOOSE(CONTROL!$C$22, $C$13, 100%, $E$13)</f>
        <v>2.8778000000000001</v>
      </c>
      <c r="C84" s="60">
        <f>2.8778 * CHOOSE(CONTROL!$C$22, $C$13, 100%, $E$13)</f>
        <v>2.8778000000000001</v>
      </c>
      <c r="D84" s="60">
        <f>2.9154 * CHOOSE(CONTROL!$C$22, $C$13, 100%, $E$13)</f>
        <v>2.9154</v>
      </c>
      <c r="E84" s="61">
        <f>2.9136 * CHOOSE(CONTROL!$C$22, $C$13, 100%, $E$13)</f>
        <v>2.9136000000000002</v>
      </c>
      <c r="F84" s="61">
        <f>2.9136 * CHOOSE(CONTROL!$C$22, $C$13, 100%, $E$13)</f>
        <v>2.9136000000000002</v>
      </c>
      <c r="G84" s="61">
        <f>2.916 * CHOOSE(CONTROL!$C$22, $C$13, 100%, $E$13)</f>
        <v>2.9159999999999999</v>
      </c>
      <c r="H84" s="61">
        <f>5.9321* CHOOSE(CONTROL!$C$22, $C$13, 100%, $E$13)</f>
        <v>5.9321000000000002</v>
      </c>
      <c r="I84" s="61">
        <f>5.9344 * CHOOSE(CONTROL!$C$22, $C$13, 100%, $E$13)</f>
        <v>5.9344000000000001</v>
      </c>
      <c r="J84" s="61">
        <f>2.9136 * CHOOSE(CONTROL!$C$22, $C$13, 100%, $E$13)</f>
        <v>2.9136000000000002</v>
      </c>
      <c r="K84" s="61">
        <f>2.916 * CHOOSE(CONTROL!$C$22, $C$13, 100%, $E$13)</f>
        <v>2.9159999999999999</v>
      </c>
      <c r="L84" s="4"/>
      <c r="M84" s="4"/>
      <c r="N84" s="4"/>
    </row>
    <row r="85" spans="1:14" ht="15">
      <c r="A85" s="13">
        <v>44440</v>
      </c>
      <c r="B85" s="60">
        <f>2.8748 * CHOOSE(CONTROL!$C$22, $C$13, 100%, $E$13)</f>
        <v>2.8748</v>
      </c>
      <c r="C85" s="60">
        <f>2.8748 * CHOOSE(CONTROL!$C$22, $C$13, 100%, $E$13)</f>
        <v>2.8748</v>
      </c>
      <c r="D85" s="60">
        <f>2.9124 * CHOOSE(CONTROL!$C$22, $C$13, 100%, $E$13)</f>
        <v>2.9123999999999999</v>
      </c>
      <c r="E85" s="61">
        <f>2.9094 * CHOOSE(CONTROL!$C$22, $C$13, 100%, $E$13)</f>
        <v>2.9094000000000002</v>
      </c>
      <c r="F85" s="61">
        <f>2.9094 * CHOOSE(CONTROL!$C$22, $C$13, 100%, $E$13)</f>
        <v>2.9094000000000002</v>
      </c>
      <c r="G85" s="61">
        <f>2.9117 * CHOOSE(CONTROL!$C$22, $C$13, 100%, $E$13)</f>
        <v>2.9117000000000002</v>
      </c>
      <c r="H85" s="61">
        <f>5.9444* CHOOSE(CONTROL!$C$22, $C$13, 100%, $E$13)</f>
        <v>5.9443999999999999</v>
      </c>
      <c r="I85" s="61">
        <f>5.9468 * CHOOSE(CONTROL!$C$22, $C$13, 100%, $E$13)</f>
        <v>5.9467999999999996</v>
      </c>
      <c r="J85" s="61">
        <f>2.9094 * CHOOSE(CONTROL!$C$22, $C$13, 100%, $E$13)</f>
        <v>2.9094000000000002</v>
      </c>
      <c r="K85" s="61">
        <f>2.9117 * CHOOSE(CONTROL!$C$22, $C$13, 100%, $E$13)</f>
        <v>2.9117000000000002</v>
      </c>
      <c r="L85" s="4"/>
      <c r="M85" s="4"/>
      <c r="N85" s="4"/>
    </row>
    <row r="86" spans="1:14" ht="15">
      <c r="A86" s="13">
        <v>44470</v>
      </c>
      <c r="B86" s="60">
        <f>2.8659 * CHOOSE(CONTROL!$C$22, $C$13, 100%, $E$13)</f>
        <v>2.8658999999999999</v>
      </c>
      <c r="C86" s="60">
        <f>2.8659 * CHOOSE(CONTROL!$C$22, $C$13, 100%, $E$13)</f>
        <v>2.8658999999999999</v>
      </c>
      <c r="D86" s="60">
        <f>2.8847 * CHOOSE(CONTROL!$C$22, $C$13, 100%, $E$13)</f>
        <v>2.8847</v>
      </c>
      <c r="E86" s="61">
        <f>2.9045 * CHOOSE(CONTROL!$C$22, $C$13, 100%, $E$13)</f>
        <v>2.9045000000000001</v>
      </c>
      <c r="F86" s="61">
        <f>2.9045 * CHOOSE(CONTROL!$C$22, $C$13, 100%, $E$13)</f>
        <v>2.9045000000000001</v>
      </c>
      <c r="G86" s="61">
        <f>2.9046 * CHOOSE(CONTROL!$C$22, $C$13, 100%, $E$13)</f>
        <v>2.9045999999999998</v>
      </c>
      <c r="H86" s="61">
        <f>5.9568* CHOOSE(CONTROL!$C$22, $C$13, 100%, $E$13)</f>
        <v>5.9568000000000003</v>
      </c>
      <c r="I86" s="61">
        <f>5.957 * CHOOSE(CONTROL!$C$22, $C$13, 100%, $E$13)</f>
        <v>5.9569999999999999</v>
      </c>
      <c r="J86" s="61">
        <f>2.9045 * CHOOSE(CONTROL!$C$22, $C$13, 100%, $E$13)</f>
        <v>2.9045000000000001</v>
      </c>
      <c r="K86" s="61">
        <f>2.9046 * CHOOSE(CONTROL!$C$22, $C$13, 100%, $E$13)</f>
        <v>2.9045999999999998</v>
      </c>
      <c r="L86" s="4"/>
      <c r="M86" s="4"/>
      <c r="N86" s="4"/>
    </row>
    <row r="87" spans="1:14" ht="15">
      <c r="A87" s="13">
        <v>44501</v>
      </c>
      <c r="B87" s="60">
        <f>2.869 * CHOOSE(CONTROL!$C$22, $C$13, 100%, $E$13)</f>
        <v>2.8690000000000002</v>
      </c>
      <c r="C87" s="60">
        <f>2.869 * CHOOSE(CONTROL!$C$22, $C$13, 100%, $E$13)</f>
        <v>2.8690000000000002</v>
      </c>
      <c r="D87" s="60">
        <f>2.8878 * CHOOSE(CONTROL!$C$22, $C$13, 100%, $E$13)</f>
        <v>2.8877999999999999</v>
      </c>
      <c r="E87" s="61">
        <f>2.9108 * CHOOSE(CONTROL!$C$22, $C$13, 100%, $E$13)</f>
        <v>2.9108000000000001</v>
      </c>
      <c r="F87" s="61">
        <f>2.9108 * CHOOSE(CONTROL!$C$22, $C$13, 100%, $E$13)</f>
        <v>2.9108000000000001</v>
      </c>
      <c r="G87" s="61">
        <f>2.911 * CHOOSE(CONTROL!$C$22, $C$13, 100%, $E$13)</f>
        <v>2.911</v>
      </c>
      <c r="H87" s="61">
        <f>5.9692* CHOOSE(CONTROL!$C$22, $C$13, 100%, $E$13)</f>
        <v>5.9691999999999998</v>
      </c>
      <c r="I87" s="61">
        <f>5.9694 * CHOOSE(CONTROL!$C$22, $C$13, 100%, $E$13)</f>
        <v>5.9694000000000003</v>
      </c>
      <c r="J87" s="61">
        <f>2.9108 * CHOOSE(CONTROL!$C$22, $C$13, 100%, $E$13)</f>
        <v>2.9108000000000001</v>
      </c>
      <c r="K87" s="61">
        <f>2.911 * CHOOSE(CONTROL!$C$22, $C$13, 100%, $E$13)</f>
        <v>2.911</v>
      </c>
      <c r="L87" s="4"/>
      <c r="M87" s="4"/>
      <c r="N87" s="4"/>
    </row>
    <row r="88" spans="1:14" ht="15">
      <c r="A88" s="13">
        <v>44531</v>
      </c>
      <c r="B88" s="60">
        <f>2.869 * CHOOSE(CONTROL!$C$22, $C$13, 100%, $E$13)</f>
        <v>2.8690000000000002</v>
      </c>
      <c r="C88" s="60">
        <f>2.869 * CHOOSE(CONTROL!$C$22, $C$13, 100%, $E$13)</f>
        <v>2.8690000000000002</v>
      </c>
      <c r="D88" s="60">
        <f>2.8878 * CHOOSE(CONTROL!$C$22, $C$13, 100%, $E$13)</f>
        <v>2.8877999999999999</v>
      </c>
      <c r="E88" s="61">
        <f>2.9002 * CHOOSE(CONTROL!$C$22, $C$13, 100%, $E$13)</f>
        <v>2.9001999999999999</v>
      </c>
      <c r="F88" s="61">
        <f>2.9002 * CHOOSE(CONTROL!$C$22, $C$13, 100%, $E$13)</f>
        <v>2.9001999999999999</v>
      </c>
      <c r="G88" s="61">
        <f>2.9004 * CHOOSE(CONTROL!$C$22, $C$13, 100%, $E$13)</f>
        <v>2.9003999999999999</v>
      </c>
      <c r="H88" s="61">
        <f>5.9817* CHOOSE(CONTROL!$C$22, $C$13, 100%, $E$13)</f>
        <v>5.9817</v>
      </c>
      <c r="I88" s="61">
        <f>5.9818 * CHOOSE(CONTROL!$C$22, $C$13, 100%, $E$13)</f>
        <v>5.9817999999999998</v>
      </c>
      <c r="J88" s="61">
        <f>2.9002 * CHOOSE(CONTROL!$C$22, $C$13, 100%, $E$13)</f>
        <v>2.9001999999999999</v>
      </c>
      <c r="K88" s="61">
        <f>2.9004 * CHOOSE(CONTROL!$C$22, $C$13, 100%, $E$13)</f>
        <v>2.9003999999999999</v>
      </c>
      <c r="L88" s="4"/>
      <c r="M88" s="4"/>
      <c r="N88" s="4"/>
    </row>
    <row r="89" spans="1:14" ht="15">
      <c r="A89" s="13">
        <v>44562</v>
      </c>
      <c r="B89" s="60">
        <f>2.925 * CHOOSE(CONTROL!$C$22, $C$13, 100%, $E$13)</f>
        <v>2.9249999999999998</v>
      </c>
      <c r="C89" s="60">
        <f>2.925 * CHOOSE(CONTROL!$C$22, $C$13, 100%, $E$13)</f>
        <v>2.9249999999999998</v>
      </c>
      <c r="D89" s="60">
        <f>2.9438 * CHOOSE(CONTROL!$C$22, $C$13, 100%, $E$13)</f>
        <v>2.9438</v>
      </c>
      <c r="E89" s="61">
        <f>2.9769 * CHOOSE(CONTROL!$C$22, $C$13, 100%, $E$13)</f>
        <v>2.9769000000000001</v>
      </c>
      <c r="F89" s="61">
        <f>2.9769 * CHOOSE(CONTROL!$C$22, $C$13, 100%, $E$13)</f>
        <v>2.9769000000000001</v>
      </c>
      <c r="G89" s="61">
        <f>2.9771 * CHOOSE(CONTROL!$C$22, $C$13, 100%, $E$13)</f>
        <v>2.9771000000000001</v>
      </c>
      <c r="H89" s="61">
        <f>5.9941* CHOOSE(CONTROL!$C$22, $C$13, 100%, $E$13)</f>
        <v>5.9941000000000004</v>
      </c>
      <c r="I89" s="61">
        <f>5.9943 * CHOOSE(CONTROL!$C$22, $C$13, 100%, $E$13)</f>
        <v>5.9943</v>
      </c>
      <c r="J89" s="61">
        <f>2.9769 * CHOOSE(CONTROL!$C$22, $C$13, 100%, $E$13)</f>
        <v>2.9769000000000001</v>
      </c>
      <c r="K89" s="61">
        <f>2.9771 * CHOOSE(CONTROL!$C$22, $C$13, 100%, $E$13)</f>
        <v>2.9771000000000001</v>
      </c>
      <c r="L89" s="4"/>
      <c r="M89" s="4"/>
      <c r="N89" s="4"/>
    </row>
    <row r="90" spans="1:14" ht="15">
      <c r="A90" s="13">
        <v>44593</v>
      </c>
      <c r="B90" s="60">
        <f>2.9219 * CHOOSE(CONTROL!$C$22, $C$13, 100%, $E$13)</f>
        <v>2.9218999999999999</v>
      </c>
      <c r="C90" s="60">
        <f>2.9219 * CHOOSE(CONTROL!$C$22, $C$13, 100%, $E$13)</f>
        <v>2.9218999999999999</v>
      </c>
      <c r="D90" s="60">
        <f>2.9407 * CHOOSE(CONTROL!$C$22, $C$13, 100%, $E$13)</f>
        <v>2.9407000000000001</v>
      </c>
      <c r="E90" s="61">
        <f>2.9507 * CHOOSE(CONTROL!$C$22, $C$13, 100%, $E$13)</f>
        <v>2.9506999999999999</v>
      </c>
      <c r="F90" s="61">
        <f>2.9507 * CHOOSE(CONTROL!$C$22, $C$13, 100%, $E$13)</f>
        <v>2.9506999999999999</v>
      </c>
      <c r="G90" s="61">
        <f>2.9509 * CHOOSE(CONTROL!$C$22, $C$13, 100%, $E$13)</f>
        <v>2.9508999999999999</v>
      </c>
      <c r="H90" s="61">
        <f>6.0066* CHOOSE(CONTROL!$C$22, $C$13, 100%, $E$13)</f>
        <v>6.0065999999999997</v>
      </c>
      <c r="I90" s="61">
        <f>6.0068 * CHOOSE(CONTROL!$C$22, $C$13, 100%, $E$13)</f>
        <v>6.0068000000000001</v>
      </c>
      <c r="J90" s="61">
        <f>2.9507 * CHOOSE(CONTROL!$C$22, $C$13, 100%, $E$13)</f>
        <v>2.9506999999999999</v>
      </c>
      <c r="K90" s="61">
        <f>2.9509 * CHOOSE(CONTROL!$C$22, $C$13, 100%, $E$13)</f>
        <v>2.9508999999999999</v>
      </c>
      <c r="L90" s="4"/>
      <c r="M90" s="4"/>
      <c r="N90" s="4"/>
    </row>
    <row r="91" spans="1:14" ht="15">
      <c r="A91" s="13">
        <v>44621</v>
      </c>
      <c r="B91" s="60">
        <f>2.9189 * CHOOSE(CONTROL!$C$22, $C$13, 100%, $E$13)</f>
        <v>2.9188999999999998</v>
      </c>
      <c r="C91" s="60">
        <f>2.9189 * CHOOSE(CONTROL!$C$22, $C$13, 100%, $E$13)</f>
        <v>2.9188999999999998</v>
      </c>
      <c r="D91" s="60">
        <f>2.9377 * CHOOSE(CONTROL!$C$22, $C$13, 100%, $E$13)</f>
        <v>2.9377</v>
      </c>
      <c r="E91" s="61">
        <f>2.9676 * CHOOSE(CONTROL!$C$22, $C$13, 100%, $E$13)</f>
        <v>2.9676</v>
      </c>
      <c r="F91" s="61">
        <f>2.9676 * CHOOSE(CONTROL!$C$22, $C$13, 100%, $E$13)</f>
        <v>2.9676</v>
      </c>
      <c r="G91" s="61">
        <f>2.9677 * CHOOSE(CONTROL!$C$22, $C$13, 100%, $E$13)</f>
        <v>2.9676999999999998</v>
      </c>
      <c r="H91" s="61">
        <f>6.0191* CHOOSE(CONTROL!$C$22, $C$13, 100%, $E$13)</f>
        <v>6.0190999999999999</v>
      </c>
      <c r="I91" s="61">
        <f>6.0193 * CHOOSE(CONTROL!$C$22, $C$13, 100%, $E$13)</f>
        <v>6.0193000000000003</v>
      </c>
      <c r="J91" s="61">
        <f>2.9676 * CHOOSE(CONTROL!$C$22, $C$13, 100%, $E$13)</f>
        <v>2.9676</v>
      </c>
      <c r="K91" s="61">
        <f>2.9677 * CHOOSE(CONTROL!$C$22, $C$13, 100%, $E$13)</f>
        <v>2.9676999999999998</v>
      </c>
      <c r="L91" s="4"/>
      <c r="M91" s="4"/>
      <c r="N91" s="4"/>
    </row>
    <row r="92" spans="1:14" ht="15">
      <c r="A92" s="13">
        <v>44652</v>
      </c>
      <c r="B92" s="60">
        <f>2.9156 * CHOOSE(CONTROL!$C$22, $C$13, 100%, $E$13)</f>
        <v>2.9156</v>
      </c>
      <c r="C92" s="60">
        <f>2.9156 * CHOOSE(CONTROL!$C$22, $C$13, 100%, $E$13)</f>
        <v>2.9156</v>
      </c>
      <c r="D92" s="60">
        <f>2.9344 * CHOOSE(CONTROL!$C$22, $C$13, 100%, $E$13)</f>
        <v>2.9344000000000001</v>
      </c>
      <c r="E92" s="61">
        <f>2.9837 * CHOOSE(CONTROL!$C$22, $C$13, 100%, $E$13)</f>
        <v>2.9836999999999998</v>
      </c>
      <c r="F92" s="61">
        <f>2.9837 * CHOOSE(CONTROL!$C$22, $C$13, 100%, $E$13)</f>
        <v>2.9836999999999998</v>
      </c>
      <c r="G92" s="61">
        <f>2.9839 * CHOOSE(CONTROL!$C$22, $C$13, 100%, $E$13)</f>
        <v>2.9839000000000002</v>
      </c>
      <c r="H92" s="61">
        <f>6.0317* CHOOSE(CONTROL!$C$22, $C$13, 100%, $E$13)</f>
        <v>6.0316999999999998</v>
      </c>
      <c r="I92" s="61">
        <f>6.0318 * CHOOSE(CONTROL!$C$22, $C$13, 100%, $E$13)</f>
        <v>6.0317999999999996</v>
      </c>
      <c r="J92" s="61">
        <f>2.9837 * CHOOSE(CONTROL!$C$22, $C$13, 100%, $E$13)</f>
        <v>2.9836999999999998</v>
      </c>
      <c r="K92" s="61">
        <f>2.9839 * CHOOSE(CONTROL!$C$22, $C$13, 100%, $E$13)</f>
        <v>2.9839000000000002</v>
      </c>
      <c r="L92" s="4"/>
      <c r="M92" s="4"/>
      <c r="N92" s="4"/>
    </row>
    <row r="93" spans="1:14" ht="15">
      <c r="A93" s="13">
        <v>44682</v>
      </c>
      <c r="B93" s="60">
        <f>2.9156 * CHOOSE(CONTROL!$C$22, $C$13, 100%, $E$13)</f>
        <v>2.9156</v>
      </c>
      <c r="C93" s="60">
        <f>2.9156 * CHOOSE(CONTROL!$C$22, $C$13, 100%, $E$13)</f>
        <v>2.9156</v>
      </c>
      <c r="D93" s="60">
        <f>2.9532 * CHOOSE(CONTROL!$C$22, $C$13, 100%, $E$13)</f>
        <v>2.9531999999999998</v>
      </c>
      <c r="E93" s="61">
        <f>2.9913 * CHOOSE(CONTROL!$C$22, $C$13, 100%, $E$13)</f>
        <v>2.9912999999999998</v>
      </c>
      <c r="F93" s="61">
        <f>2.9913 * CHOOSE(CONTROL!$C$22, $C$13, 100%, $E$13)</f>
        <v>2.9912999999999998</v>
      </c>
      <c r="G93" s="61">
        <f>2.9937 * CHOOSE(CONTROL!$C$22, $C$13, 100%, $E$13)</f>
        <v>2.9937</v>
      </c>
      <c r="H93" s="61">
        <f>6.0442* CHOOSE(CONTROL!$C$22, $C$13, 100%, $E$13)</f>
        <v>6.0442</v>
      </c>
      <c r="I93" s="61">
        <f>6.0466 * CHOOSE(CONTROL!$C$22, $C$13, 100%, $E$13)</f>
        <v>6.0465999999999998</v>
      </c>
      <c r="J93" s="61">
        <f>2.9913 * CHOOSE(CONTROL!$C$22, $C$13, 100%, $E$13)</f>
        <v>2.9912999999999998</v>
      </c>
      <c r="K93" s="61">
        <f>2.9937 * CHOOSE(CONTROL!$C$22, $C$13, 100%, $E$13)</f>
        <v>2.9937</v>
      </c>
      <c r="L93" s="4"/>
      <c r="M93" s="4"/>
      <c r="N93" s="4"/>
    </row>
    <row r="94" spans="1:14" ht="15">
      <c r="A94" s="13">
        <v>44713</v>
      </c>
      <c r="B94" s="60">
        <f>2.9216 * CHOOSE(CONTROL!$C$22, $C$13, 100%, $E$13)</f>
        <v>2.9216000000000002</v>
      </c>
      <c r="C94" s="60">
        <f>2.9216 * CHOOSE(CONTROL!$C$22, $C$13, 100%, $E$13)</f>
        <v>2.9216000000000002</v>
      </c>
      <c r="D94" s="60">
        <f>2.9593 * CHOOSE(CONTROL!$C$22, $C$13, 100%, $E$13)</f>
        <v>2.9592999999999998</v>
      </c>
      <c r="E94" s="61">
        <f>2.9879 * CHOOSE(CONTROL!$C$22, $C$13, 100%, $E$13)</f>
        <v>2.9878999999999998</v>
      </c>
      <c r="F94" s="61">
        <f>2.9879 * CHOOSE(CONTROL!$C$22, $C$13, 100%, $E$13)</f>
        <v>2.9878999999999998</v>
      </c>
      <c r="G94" s="61">
        <f>2.9903 * CHOOSE(CONTROL!$C$22, $C$13, 100%, $E$13)</f>
        <v>2.9903</v>
      </c>
      <c r="H94" s="61">
        <f>6.0568* CHOOSE(CONTROL!$C$22, $C$13, 100%, $E$13)</f>
        <v>6.0568</v>
      </c>
      <c r="I94" s="61">
        <f>6.0591 * CHOOSE(CONTROL!$C$22, $C$13, 100%, $E$13)</f>
        <v>6.0590999999999999</v>
      </c>
      <c r="J94" s="61">
        <f>2.9879 * CHOOSE(CONTROL!$C$22, $C$13, 100%, $E$13)</f>
        <v>2.9878999999999998</v>
      </c>
      <c r="K94" s="61">
        <f>2.9903 * CHOOSE(CONTROL!$C$22, $C$13, 100%, $E$13)</f>
        <v>2.9903</v>
      </c>
      <c r="L94" s="4"/>
      <c r="M94" s="4"/>
      <c r="N94" s="4"/>
    </row>
    <row r="95" spans="1:14" ht="15">
      <c r="A95" s="13">
        <v>44743</v>
      </c>
      <c r="B95" s="60">
        <f>3.0359 * CHOOSE(CONTROL!$C$22, $C$13, 100%, $E$13)</f>
        <v>3.0358999999999998</v>
      </c>
      <c r="C95" s="60">
        <f>3.0359 * CHOOSE(CONTROL!$C$22, $C$13, 100%, $E$13)</f>
        <v>3.0358999999999998</v>
      </c>
      <c r="D95" s="60">
        <f>3.0735 * CHOOSE(CONTROL!$C$22, $C$13, 100%, $E$13)</f>
        <v>3.0735000000000001</v>
      </c>
      <c r="E95" s="61">
        <f>3.0661 * CHOOSE(CONTROL!$C$22, $C$13, 100%, $E$13)</f>
        <v>3.0661</v>
      </c>
      <c r="F95" s="61">
        <f>3.0661 * CHOOSE(CONTROL!$C$22, $C$13, 100%, $E$13)</f>
        <v>3.0661</v>
      </c>
      <c r="G95" s="61">
        <f>3.0684 * CHOOSE(CONTROL!$C$22, $C$13, 100%, $E$13)</f>
        <v>3.0684</v>
      </c>
      <c r="H95" s="61">
        <f>6.0694* CHOOSE(CONTROL!$C$22, $C$13, 100%, $E$13)</f>
        <v>6.0693999999999999</v>
      </c>
      <c r="I95" s="61">
        <f>6.0718 * CHOOSE(CONTROL!$C$22, $C$13, 100%, $E$13)</f>
        <v>6.0717999999999996</v>
      </c>
      <c r="J95" s="61">
        <f>3.0661 * CHOOSE(CONTROL!$C$22, $C$13, 100%, $E$13)</f>
        <v>3.0661</v>
      </c>
      <c r="K95" s="61">
        <f>3.0684 * CHOOSE(CONTROL!$C$22, $C$13, 100%, $E$13)</f>
        <v>3.0684</v>
      </c>
      <c r="L95" s="4"/>
      <c r="M95" s="4"/>
      <c r="N95" s="4"/>
    </row>
    <row r="96" spans="1:14" ht="15">
      <c r="A96" s="13">
        <v>44774</v>
      </c>
      <c r="B96" s="60">
        <f>3.0426 * CHOOSE(CONTROL!$C$22, $C$13, 100%, $E$13)</f>
        <v>3.0426000000000002</v>
      </c>
      <c r="C96" s="60">
        <f>3.0426 * CHOOSE(CONTROL!$C$22, $C$13, 100%, $E$13)</f>
        <v>3.0426000000000002</v>
      </c>
      <c r="D96" s="60">
        <f>3.0802 * CHOOSE(CONTROL!$C$22, $C$13, 100%, $E$13)</f>
        <v>3.0802</v>
      </c>
      <c r="E96" s="61">
        <f>3.0478 * CHOOSE(CONTROL!$C$22, $C$13, 100%, $E$13)</f>
        <v>3.0478000000000001</v>
      </c>
      <c r="F96" s="61">
        <f>3.0478 * CHOOSE(CONTROL!$C$22, $C$13, 100%, $E$13)</f>
        <v>3.0478000000000001</v>
      </c>
      <c r="G96" s="61">
        <f>3.0502 * CHOOSE(CONTROL!$C$22, $C$13, 100%, $E$13)</f>
        <v>3.0501999999999998</v>
      </c>
      <c r="H96" s="61">
        <f>6.0821* CHOOSE(CONTROL!$C$22, $C$13, 100%, $E$13)</f>
        <v>6.0820999999999996</v>
      </c>
      <c r="I96" s="61">
        <f>6.0844 * CHOOSE(CONTROL!$C$22, $C$13, 100%, $E$13)</f>
        <v>6.0843999999999996</v>
      </c>
      <c r="J96" s="61">
        <f>3.0478 * CHOOSE(CONTROL!$C$22, $C$13, 100%, $E$13)</f>
        <v>3.0478000000000001</v>
      </c>
      <c r="K96" s="61">
        <f>3.0502 * CHOOSE(CONTROL!$C$22, $C$13, 100%, $E$13)</f>
        <v>3.0501999999999998</v>
      </c>
      <c r="L96" s="4"/>
      <c r="M96" s="4"/>
      <c r="N96" s="4"/>
    </row>
    <row r="97" spans="1:14" ht="15">
      <c r="A97" s="13">
        <v>44805</v>
      </c>
      <c r="B97" s="60">
        <f>3.0395 * CHOOSE(CONTROL!$C$22, $C$13, 100%, $E$13)</f>
        <v>3.0394999999999999</v>
      </c>
      <c r="C97" s="60">
        <f>3.0395 * CHOOSE(CONTROL!$C$22, $C$13, 100%, $E$13)</f>
        <v>3.0394999999999999</v>
      </c>
      <c r="D97" s="60">
        <f>3.0772 * CHOOSE(CONTROL!$C$22, $C$13, 100%, $E$13)</f>
        <v>3.0771999999999999</v>
      </c>
      <c r="E97" s="61">
        <f>3.0432 * CHOOSE(CONTROL!$C$22, $C$13, 100%, $E$13)</f>
        <v>3.0432000000000001</v>
      </c>
      <c r="F97" s="61">
        <f>3.0432 * CHOOSE(CONTROL!$C$22, $C$13, 100%, $E$13)</f>
        <v>3.0432000000000001</v>
      </c>
      <c r="G97" s="61">
        <f>3.0455 * CHOOSE(CONTROL!$C$22, $C$13, 100%, $E$13)</f>
        <v>3.0455000000000001</v>
      </c>
      <c r="H97" s="61">
        <f>6.0948* CHOOSE(CONTROL!$C$22, $C$13, 100%, $E$13)</f>
        <v>6.0948000000000002</v>
      </c>
      <c r="I97" s="61">
        <f>6.0971 * CHOOSE(CONTROL!$C$22, $C$13, 100%, $E$13)</f>
        <v>6.0971000000000002</v>
      </c>
      <c r="J97" s="61">
        <f>3.0432 * CHOOSE(CONTROL!$C$22, $C$13, 100%, $E$13)</f>
        <v>3.0432000000000001</v>
      </c>
      <c r="K97" s="61">
        <f>3.0455 * CHOOSE(CONTROL!$C$22, $C$13, 100%, $E$13)</f>
        <v>3.0455000000000001</v>
      </c>
      <c r="L97" s="4"/>
      <c r="M97" s="4"/>
      <c r="N97" s="4"/>
    </row>
    <row r="98" spans="1:14" ht="15">
      <c r="A98" s="13">
        <v>44835</v>
      </c>
      <c r="B98" s="60">
        <f>3.0312 * CHOOSE(CONTROL!$C$22, $C$13, 100%, $E$13)</f>
        <v>3.0312000000000001</v>
      </c>
      <c r="C98" s="60">
        <f>3.0312 * CHOOSE(CONTROL!$C$22, $C$13, 100%, $E$13)</f>
        <v>3.0312000000000001</v>
      </c>
      <c r="D98" s="60">
        <f>3.05 * CHOOSE(CONTROL!$C$22, $C$13, 100%, $E$13)</f>
        <v>3.05</v>
      </c>
      <c r="E98" s="61">
        <f>3.04 * CHOOSE(CONTROL!$C$22, $C$13, 100%, $E$13)</f>
        <v>3.04</v>
      </c>
      <c r="F98" s="61">
        <f>3.04 * CHOOSE(CONTROL!$C$22, $C$13, 100%, $E$13)</f>
        <v>3.04</v>
      </c>
      <c r="G98" s="61">
        <f>3.0401 * CHOOSE(CONTROL!$C$22, $C$13, 100%, $E$13)</f>
        <v>3.0400999999999998</v>
      </c>
      <c r="H98" s="61">
        <f>6.1075* CHOOSE(CONTROL!$C$22, $C$13, 100%, $E$13)</f>
        <v>6.1074999999999999</v>
      </c>
      <c r="I98" s="61">
        <f>6.1076 * CHOOSE(CONTROL!$C$22, $C$13, 100%, $E$13)</f>
        <v>6.1075999999999997</v>
      </c>
      <c r="J98" s="61">
        <f>3.04 * CHOOSE(CONTROL!$C$22, $C$13, 100%, $E$13)</f>
        <v>3.04</v>
      </c>
      <c r="K98" s="61">
        <f>3.0401 * CHOOSE(CONTROL!$C$22, $C$13, 100%, $E$13)</f>
        <v>3.0400999999999998</v>
      </c>
      <c r="L98" s="4"/>
      <c r="M98" s="4"/>
      <c r="N98" s="4"/>
    </row>
    <row r="99" spans="1:14" ht="15">
      <c r="A99" s="13">
        <v>44866</v>
      </c>
      <c r="B99" s="60">
        <f>3.0342 * CHOOSE(CONTROL!$C$22, $C$13, 100%, $E$13)</f>
        <v>3.0341999999999998</v>
      </c>
      <c r="C99" s="60">
        <f>3.0342 * CHOOSE(CONTROL!$C$22, $C$13, 100%, $E$13)</f>
        <v>3.0341999999999998</v>
      </c>
      <c r="D99" s="60">
        <f>3.0531 * CHOOSE(CONTROL!$C$22, $C$13, 100%, $E$13)</f>
        <v>3.0531000000000001</v>
      </c>
      <c r="E99" s="61">
        <f>3.0472 * CHOOSE(CONTROL!$C$22, $C$13, 100%, $E$13)</f>
        <v>3.0472000000000001</v>
      </c>
      <c r="F99" s="61">
        <f>3.0472 * CHOOSE(CONTROL!$C$22, $C$13, 100%, $E$13)</f>
        <v>3.0472000000000001</v>
      </c>
      <c r="G99" s="61">
        <f>3.0473 * CHOOSE(CONTROL!$C$22, $C$13, 100%, $E$13)</f>
        <v>3.0472999999999999</v>
      </c>
      <c r="H99" s="61">
        <f>6.1202* CHOOSE(CONTROL!$C$22, $C$13, 100%, $E$13)</f>
        <v>6.1201999999999996</v>
      </c>
      <c r="I99" s="61">
        <f>6.1204 * CHOOSE(CONTROL!$C$22, $C$13, 100%, $E$13)</f>
        <v>6.1204000000000001</v>
      </c>
      <c r="J99" s="61">
        <f>3.0472 * CHOOSE(CONTROL!$C$22, $C$13, 100%, $E$13)</f>
        <v>3.0472000000000001</v>
      </c>
      <c r="K99" s="61">
        <f>3.0473 * CHOOSE(CONTROL!$C$22, $C$13, 100%, $E$13)</f>
        <v>3.0472999999999999</v>
      </c>
      <c r="L99" s="4"/>
      <c r="M99" s="4"/>
      <c r="N99" s="4"/>
    </row>
    <row r="100" spans="1:14" ht="15">
      <c r="A100" s="13">
        <v>44896</v>
      </c>
      <c r="B100" s="60">
        <f>3.0342 * CHOOSE(CONTROL!$C$22, $C$13, 100%, $E$13)</f>
        <v>3.0341999999999998</v>
      </c>
      <c r="C100" s="60">
        <f>3.0342 * CHOOSE(CONTROL!$C$22, $C$13, 100%, $E$13)</f>
        <v>3.0341999999999998</v>
      </c>
      <c r="D100" s="60">
        <f>3.0531 * CHOOSE(CONTROL!$C$22, $C$13, 100%, $E$13)</f>
        <v>3.0531000000000001</v>
      </c>
      <c r="E100" s="61">
        <f>3.0344 * CHOOSE(CONTROL!$C$22, $C$13, 100%, $E$13)</f>
        <v>3.0344000000000002</v>
      </c>
      <c r="F100" s="61">
        <f>3.0344 * CHOOSE(CONTROL!$C$22, $C$13, 100%, $E$13)</f>
        <v>3.0344000000000002</v>
      </c>
      <c r="G100" s="61">
        <f>3.0346 * CHOOSE(CONTROL!$C$22, $C$13, 100%, $E$13)</f>
        <v>3.0346000000000002</v>
      </c>
      <c r="H100" s="61">
        <f>6.1329* CHOOSE(CONTROL!$C$22, $C$13, 100%, $E$13)</f>
        <v>6.1329000000000002</v>
      </c>
      <c r="I100" s="61">
        <f>6.1331 * CHOOSE(CONTROL!$C$22, $C$13, 100%, $E$13)</f>
        <v>6.1330999999999998</v>
      </c>
      <c r="J100" s="61">
        <f>3.0344 * CHOOSE(CONTROL!$C$22, $C$13, 100%, $E$13)</f>
        <v>3.0344000000000002</v>
      </c>
      <c r="K100" s="61">
        <f>3.0346 * CHOOSE(CONTROL!$C$22, $C$13, 100%, $E$13)</f>
        <v>3.0346000000000002</v>
      </c>
      <c r="L100" s="4"/>
      <c r="M100" s="4"/>
      <c r="N100" s="4"/>
    </row>
    <row r="101" spans="1:14" ht="15">
      <c r="A101" s="13">
        <v>44927</v>
      </c>
      <c r="B101" s="60">
        <f>3.0584 * CHOOSE(CONTROL!$C$22, $C$13, 100%, $E$13)</f>
        <v>3.0583999999999998</v>
      </c>
      <c r="C101" s="60">
        <f>3.0584 * CHOOSE(CONTROL!$C$22, $C$13, 100%, $E$13)</f>
        <v>3.0583999999999998</v>
      </c>
      <c r="D101" s="60">
        <f>3.0772 * CHOOSE(CONTROL!$C$22, $C$13, 100%, $E$13)</f>
        <v>3.0771999999999999</v>
      </c>
      <c r="E101" s="61">
        <f>3.1403 * CHOOSE(CONTROL!$C$22, $C$13, 100%, $E$13)</f>
        <v>3.1402999999999999</v>
      </c>
      <c r="F101" s="61">
        <f>3.1403 * CHOOSE(CONTROL!$C$22, $C$13, 100%, $E$13)</f>
        <v>3.1402999999999999</v>
      </c>
      <c r="G101" s="61">
        <f>3.1405 * CHOOSE(CONTROL!$C$22, $C$13, 100%, $E$13)</f>
        <v>3.1404999999999998</v>
      </c>
      <c r="H101" s="61">
        <f>6.1457* CHOOSE(CONTROL!$C$22, $C$13, 100%, $E$13)</f>
        <v>6.1456999999999997</v>
      </c>
      <c r="I101" s="61">
        <f>6.1459 * CHOOSE(CONTROL!$C$22, $C$13, 100%, $E$13)</f>
        <v>6.1459000000000001</v>
      </c>
      <c r="J101" s="61">
        <f>3.1403 * CHOOSE(CONTROL!$C$22, $C$13, 100%, $E$13)</f>
        <v>3.1402999999999999</v>
      </c>
      <c r="K101" s="61">
        <f>3.1405 * CHOOSE(CONTROL!$C$22, $C$13, 100%, $E$13)</f>
        <v>3.1404999999999998</v>
      </c>
      <c r="L101" s="4"/>
      <c r="M101" s="4"/>
      <c r="N101" s="4"/>
    </row>
    <row r="102" spans="1:14" ht="15">
      <c r="A102" s="13">
        <v>44958</v>
      </c>
      <c r="B102" s="60">
        <f>3.0553 * CHOOSE(CONTROL!$C$22, $C$13, 100%, $E$13)</f>
        <v>3.0552999999999999</v>
      </c>
      <c r="C102" s="60">
        <f>3.0553 * CHOOSE(CONTROL!$C$22, $C$13, 100%, $E$13)</f>
        <v>3.0552999999999999</v>
      </c>
      <c r="D102" s="60">
        <f>3.0741 * CHOOSE(CONTROL!$C$22, $C$13, 100%, $E$13)</f>
        <v>3.0741000000000001</v>
      </c>
      <c r="E102" s="61">
        <f>3.1066 * CHOOSE(CONTROL!$C$22, $C$13, 100%, $E$13)</f>
        <v>3.1065999999999998</v>
      </c>
      <c r="F102" s="61">
        <f>3.1066 * CHOOSE(CONTROL!$C$22, $C$13, 100%, $E$13)</f>
        <v>3.1065999999999998</v>
      </c>
      <c r="G102" s="61">
        <f>3.1068 * CHOOSE(CONTROL!$C$22, $C$13, 100%, $E$13)</f>
        <v>3.1067999999999998</v>
      </c>
      <c r="H102" s="61">
        <f>6.1585* CHOOSE(CONTROL!$C$22, $C$13, 100%, $E$13)</f>
        <v>6.1585000000000001</v>
      </c>
      <c r="I102" s="61">
        <f>6.1587 * CHOOSE(CONTROL!$C$22, $C$13, 100%, $E$13)</f>
        <v>6.1586999999999996</v>
      </c>
      <c r="J102" s="61">
        <f>3.1066 * CHOOSE(CONTROL!$C$22, $C$13, 100%, $E$13)</f>
        <v>3.1065999999999998</v>
      </c>
      <c r="K102" s="61">
        <f>3.1068 * CHOOSE(CONTROL!$C$22, $C$13, 100%, $E$13)</f>
        <v>3.1067999999999998</v>
      </c>
      <c r="L102" s="4"/>
      <c r="M102" s="4"/>
      <c r="N102" s="4"/>
    </row>
    <row r="103" spans="1:14" ht="15">
      <c r="A103" s="13">
        <v>44986</v>
      </c>
      <c r="B103" s="60">
        <f>3.0523 * CHOOSE(CONTROL!$C$22, $C$13, 100%, $E$13)</f>
        <v>3.0522999999999998</v>
      </c>
      <c r="C103" s="60">
        <f>3.0523 * CHOOSE(CONTROL!$C$22, $C$13, 100%, $E$13)</f>
        <v>3.0522999999999998</v>
      </c>
      <c r="D103" s="60">
        <f>3.0711 * CHOOSE(CONTROL!$C$22, $C$13, 100%, $E$13)</f>
        <v>3.0710999999999999</v>
      </c>
      <c r="E103" s="61">
        <f>3.1294 * CHOOSE(CONTROL!$C$22, $C$13, 100%, $E$13)</f>
        <v>3.1294</v>
      </c>
      <c r="F103" s="61">
        <f>3.1294 * CHOOSE(CONTROL!$C$22, $C$13, 100%, $E$13)</f>
        <v>3.1294</v>
      </c>
      <c r="G103" s="61">
        <f>3.1296 * CHOOSE(CONTROL!$C$22, $C$13, 100%, $E$13)</f>
        <v>3.1295999999999999</v>
      </c>
      <c r="H103" s="61">
        <f>6.1713* CHOOSE(CONTROL!$C$22, $C$13, 100%, $E$13)</f>
        <v>6.1712999999999996</v>
      </c>
      <c r="I103" s="61">
        <f>6.1715 * CHOOSE(CONTROL!$C$22, $C$13, 100%, $E$13)</f>
        <v>6.1715</v>
      </c>
      <c r="J103" s="61">
        <f>3.1294 * CHOOSE(CONTROL!$C$22, $C$13, 100%, $E$13)</f>
        <v>3.1294</v>
      </c>
      <c r="K103" s="61">
        <f>3.1296 * CHOOSE(CONTROL!$C$22, $C$13, 100%, $E$13)</f>
        <v>3.1295999999999999</v>
      </c>
      <c r="L103" s="4"/>
      <c r="M103" s="4"/>
      <c r="N103" s="4"/>
    </row>
    <row r="104" spans="1:14" ht="15">
      <c r="A104" s="13">
        <v>45017</v>
      </c>
      <c r="B104" s="60">
        <f>3.0491 * CHOOSE(CONTROL!$C$22, $C$13, 100%, $E$13)</f>
        <v>3.0491000000000001</v>
      </c>
      <c r="C104" s="60">
        <f>3.0491 * CHOOSE(CONTROL!$C$22, $C$13, 100%, $E$13)</f>
        <v>3.0491000000000001</v>
      </c>
      <c r="D104" s="60">
        <f>3.0679 * CHOOSE(CONTROL!$C$22, $C$13, 100%, $E$13)</f>
        <v>3.0678999999999998</v>
      </c>
      <c r="E104" s="61">
        <f>3.1519 * CHOOSE(CONTROL!$C$22, $C$13, 100%, $E$13)</f>
        <v>3.1518999999999999</v>
      </c>
      <c r="F104" s="61">
        <f>3.1519 * CHOOSE(CONTROL!$C$22, $C$13, 100%, $E$13)</f>
        <v>3.1518999999999999</v>
      </c>
      <c r="G104" s="61">
        <f>3.1521 * CHOOSE(CONTROL!$C$22, $C$13, 100%, $E$13)</f>
        <v>3.1520999999999999</v>
      </c>
      <c r="H104" s="61">
        <f>6.1842* CHOOSE(CONTROL!$C$22, $C$13, 100%, $E$13)</f>
        <v>6.1841999999999997</v>
      </c>
      <c r="I104" s="61">
        <f>6.1844 * CHOOSE(CONTROL!$C$22, $C$13, 100%, $E$13)</f>
        <v>6.1844000000000001</v>
      </c>
      <c r="J104" s="61">
        <f>3.1519 * CHOOSE(CONTROL!$C$22, $C$13, 100%, $E$13)</f>
        <v>3.1518999999999999</v>
      </c>
      <c r="K104" s="61">
        <f>3.1521 * CHOOSE(CONTROL!$C$22, $C$13, 100%, $E$13)</f>
        <v>3.1520999999999999</v>
      </c>
      <c r="L104" s="4"/>
      <c r="M104" s="4"/>
      <c r="N104" s="4"/>
    </row>
    <row r="105" spans="1:14" ht="15">
      <c r="A105" s="13">
        <v>45047</v>
      </c>
      <c r="B105" s="60">
        <f>3.0491 * CHOOSE(CONTROL!$C$22, $C$13, 100%, $E$13)</f>
        <v>3.0491000000000001</v>
      </c>
      <c r="C105" s="60">
        <f>3.0491 * CHOOSE(CONTROL!$C$22, $C$13, 100%, $E$13)</f>
        <v>3.0491000000000001</v>
      </c>
      <c r="D105" s="60">
        <f>3.0867 * CHOOSE(CONTROL!$C$22, $C$13, 100%, $E$13)</f>
        <v>3.0867</v>
      </c>
      <c r="E105" s="61">
        <f>3.1619 * CHOOSE(CONTROL!$C$22, $C$13, 100%, $E$13)</f>
        <v>3.1619000000000002</v>
      </c>
      <c r="F105" s="61">
        <f>3.1619 * CHOOSE(CONTROL!$C$22, $C$13, 100%, $E$13)</f>
        <v>3.1619000000000002</v>
      </c>
      <c r="G105" s="61">
        <f>3.1642 * CHOOSE(CONTROL!$C$22, $C$13, 100%, $E$13)</f>
        <v>3.1642000000000001</v>
      </c>
      <c r="H105" s="61">
        <f>6.1971* CHOOSE(CONTROL!$C$22, $C$13, 100%, $E$13)</f>
        <v>6.1970999999999998</v>
      </c>
      <c r="I105" s="61">
        <f>6.1994 * CHOOSE(CONTROL!$C$22, $C$13, 100%, $E$13)</f>
        <v>6.1993999999999998</v>
      </c>
      <c r="J105" s="61">
        <f>3.1619 * CHOOSE(CONTROL!$C$22, $C$13, 100%, $E$13)</f>
        <v>3.1619000000000002</v>
      </c>
      <c r="K105" s="61">
        <f>3.1642 * CHOOSE(CONTROL!$C$22, $C$13, 100%, $E$13)</f>
        <v>3.1642000000000001</v>
      </c>
      <c r="L105" s="4"/>
      <c r="M105" s="4"/>
      <c r="N105" s="4"/>
    </row>
    <row r="106" spans="1:14" ht="15">
      <c r="A106" s="13">
        <v>45078</v>
      </c>
      <c r="B106" s="60">
        <f>3.0552 * CHOOSE(CONTROL!$C$22, $C$13, 100%, $E$13)</f>
        <v>3.0552000000000001</v>
      </c>
      <c r="C106" s="60">
        <f>3.0552 * CHOOSE(CONTROL!$C$22, $C$13, 100%, $E$13)</f>
        <v>3.0552000000000001</v>
      </c>
      <c r="D106" s="60">
        <f>3.0928 * CHOOSE(CONTROL!$C$22, $C$13, 100%, $E$13)</f>
        <v>3.0928</v>
      </c>
      <c r="E106" s="61">
        <f>3.1561 * CHOOSE(CONTROL!$C$22, $C$13, 100%, $E$13)</f>
        <v>3.1560999999999999</v>
      </c>
      <c r="F106" s="61">
        <f>3.1561 * CHOOSE(CONTROL!$C$22, $C$13, 100%, $E$13)</f>
        <v>3.1560999999999999</v>
      </c>
      <c r="G106" s="61">
        <f>3.1585 * CHOOSE(CONTROL!$C$22, $C$13, 100%, $E$13)</f>
        <v>3.1585000000000001</v>
      </c>
      <c r="H106" s="61">
        <f>6.21* CHOOSE(CONTROL!$C$22, $C$13, 100%, $E$13)</f>
        <v>6.21</v>
      </c>
      <c r="I106" s="61">
        <f>6.2123 * CHOOSE(CONTROL!$C$22, $C$13, 100%, $E$13)</f>
        <v>6.2122999999999999</v>
      </c>
      <c r="J106" s="61">
        <f>3.1561 * CHOOSE(CONTROL!$C$22, $C$13, 100%, $E$13)</f>
        <v>3.1560999999999999</v>
      </c>
      <c r="K106" s="61">
        <f>3.1585 * CHOOSE(CONTROL!$C$22, $C$13, 100%, $E$13)</f>
        <v>3.1585000000000001</v>
      </c>
      <c r="L106" s="4"/>
      <c r="M106" s="4"/>
      <c r="N106" s="4"/>
    </row>
    <row r="107" spans="1:14" ht="15">
      <c r="A107" s="13">
        <v>45108</v>
      </c>
      <c r="B107" s="60">
        <f>3.1 * CHOOSE(CONTROL!$C$22, $C$13, 100%, $E$13)</f>
        <v>3.1</v>
      </c>
      <c r="C107" s="60">
        <f>3.1 * CHOOSE(CONTROL!$C$22, $C$13, 100%, $E$13)</f>
        <v>3.1</v>
      </c>
      <c r="D107" s="60">
        <f>3.1376 * CHOOSE(CONTROL!$C$22, $C$13, 100%, $E$13)</f>
        <v>3.1375999999999999</v>
      </c>
      <c r="E107" s="61">
        <f>3.2154 * CHOOSE(CONTROL!$C$22, $C$13, 100%, $E$13)</f>
        <v>3.2153999999999998</v>
      </c>
      <c r="F107" s="61">
        <f>3.2154 * CHOOSE(CONTROL!$C$22, $C$13, 100%, $E$13)</f>
        <v>3.2153999999999998</v>
      </c>
      <c r="G107" s="61">
        <f>3.2177 * CHOOSE(CONTROL!$C$22, $C$13, 100%, $E$13)</f>
        <v>3.2176999999999998</v>
      </c>
      <c r="H107" s="61">
        <f>6.2229* CHOOSE(CONTROL!$C$22, $C$13, 100%, $E$13)</f>
        <v>6.2229000000000001</v>
      </c>
      <c r="I107" s="61">
        <f>6.2252 * CHOOSE(CONTROL!$C$22, $C$13, 100%, $E$13)</f>
        <v>6.2252000000000001</v>
      </c>
      <c r="J107" s="61">
        <f>3.2154 * CHOOSE(CONTROL!$C$22, $C$13, 100%, $E$13)</f>
        <v>3.2153999999999998</v>
      </c>
      <c r="K107" s="61">
        <f>3.2177 * CHOOSE(CONTROL!$C$22, $C$13, 100%, $E$13)</f>
        <v>3.2176999999999998</v>
      </c>
      <c r="L107" s="4"/>
      <c r="M107" s="4"/>
      <c r="N107" s="4"/>
    </row>
    <row r="108" spans="1:14" ht="15">
      <c r="A108" s="13">
        <v>45139</v>
      </c>
      <c r="B108" s="60">
        <f>3.1066 * CHOOSE(CONTROL!$C$22, $C$13, 100%, $E$13)</f>
        <v>3.1065999999999998</v>
      </c>
      <c r="C108" s="60">
        <f>3.1066 * CHOOSE(CONTROL!$C$22, $C$13, 100%, $E$13)</f>
        <v>3.1065999999999998</v>
      </c>
      <c r="D108" s="60">
        <f>3.1443 * CHOOSE(CONTROL!$C$22, $C$13, 100%, $E$13)</f>
        <v>3.1442999999999999</v>
      </c>
      <c r="E108" s="61">
        <f>3.19 * CHOOSE(CONTROL!$C$22, $C$13, 100%, $E$13)</f>
        <v>3.19</v>
      </c>
      <c r="F108" s="61">
        <f>3.19 * CHOOSE(CONTROL!$C$22, $C$13, 100%, $E$13)</f>
        <v>3.19</v>
      </c>
      <c r="G108" s="61">
        <f>3.1923 * CHOOSE(CONTROL!$C$22, $C$13, 100%, $E$13)</f>
        <v>3.1922999999999999</v>
      </c>
      <c r="H108" s="61">
        <f>6.2359* CHOOSE(CONTROL!$C$22, $C$13, 100%, $E$13)</f>
        <v>6.2359</v>
      </c>
      <c r="I108" s="61">
        <f>6.2382 * CHOOSE(CONTROL!$C$22, $C$13, 100%, $E$13)</f>
        <v>6.2382</v>
      </c>
      <c r="J108" s="61">
        <f>3.19 * CHOOSE(CONTROL!$C$22, $C$13, 100%, $E$13)</f>
        <v>3.19</v>
      </c>
      <c r="K108" s="61">
        <f>3.1923 * CHOOSE(CONTROL!$C$22, $C$13, 100%, $E$13)</f>
        <v>3.1922999999999999</v>
      </c>
      <c r="L108" s="4"/>
      <c r="M108" s="4"/>
      <c r="N108" s="4"/>
    </row>
    <row r="109" spans="1:14" ht="15">
      <c r="A109" s="13">
        <v>45170</v>
      </c>
      <c r="B109" s="60">
        <f>3.1036 * CHOOSE(CONTROL!$C$22, $C$13, 100%, $E$13)</f>
        <v>3.1036000000000001</v>
      </c>
      <c r="C109" s="60">
        <f>3.1036 * CHOOSE(CONTROL!$C$22, $C$13, 100%, $E$13)</f>
        <v>3.1036000000000001</v>
      </c>
      <c r="D109" s="60">
        <f>3.1412 * CHOOSE(CONTROL!$C$22, $C$13, 100%, $E$13)</f>
        <v>3.1412</v>
      </c>
      <c r="E109" s="61">
        <f>3.1845 * CHOOSE(CONTROL!$C$22, $C$13, 100%, $E$13)</f>
        <v>3.1844999999999999</v>
      </c>
      <c r="F109" s="61">
        <f>3.1845 * CHOOSE(CONTROL!$C$22, $C$13, 100%, $E$13)</f>
        <v>3.1844999999999999</v>
      </c>
      <c r="G109" s="61">
        <f>3.1869 * CHOOSE(CONTROL!$C$22, $C$13, 100%, $E$13)</f>
        <v>3.1869000000000001</v>
      </c>
      <c r="H109" s="61">
        <f>6.2489* CHOOSE(CONTROL!$C$22, $C$13, 100%, $E$13)</f>
        <v>6.2488999999999999</v>
      </c>
      <c r="I109" s="61">
        <f>6.2512 * CHOOSE(CONTROL!$C$22, $C$13, 100%, $E$13)</f>
        <v>6.2511999999999999</v>
      </c>
      <c r="J109" s="61">
        <f>3.1845 * CHOOSE(CONTROL!$C$22, $C$13, 100%, $E$13)</f>
        <v>3.1844999999999999</v>
      </c>
      <c r="K109" s="61">
        <f>3.1869 * CHOOSE(CONTROL!$C$22, $C$13, 100%, $E$13)</f>
        <v>3.1869000000000001</v>
      </c>
      <c r="L109" s="4"/>
      <c r="M109" s="4"/>
      <c r="N109" s="4"/>
    </row>
    <row r="110" spans="1:14" ht="15">
      <c r="A110" s="13">
        <v>45200</v>
      </c>
      <c r="B110" s="60">
        <f>3.0955 * CHOOSE(CONTROL!$C$22, $C$13, 100%, $E$13)</f>
        <v>3.0954999999999999</v>
      </c>
      <c r="C110" s="60">
        <f>3.0955 * CHOOSE(CONTROL!$C$22, $C$13, 100%, $E$13)</f>
        <v>3.0954999999999999</v>
      </c>
      <c r="D110" s="60">
        <f>3.1143 * CHOOSE(CONTROL!$C$22, $C$13, 100%, $E$13)</f>
        <v>3.1143000000000001</v>
      </c>
      <c r="E110" s="61">
        <f>3.1845 * CHOOSE(CONTROL!$C$22, $C$13, 100%, $E$13)</f>
        <v>3.1844999999999999</v>
      </c>
      <c r="F110" s="61">
        <f>3.1845 * CHOOSE(CONTROL!$C$22, $C$13, 100%, $E$13)</f>
        <v>3.1844999999999999</v>
      </c>
      <c r="G110" s="61">
        <f>3.1847 * CHOOSE(CONTROL!$C$22, $C$13, 100%, $E$13)</f>
        <v>3.1846999999999999</v>
      </c>
      <c r="H110" s="61">
        <f>6.2619* CHOOSE(CONTROL!$C$22, $C$13, 100%, $E$13)</f>
        <v>6.2618999999999998</v>
      </c>
      <c r="I110" s="61">
        <f>6.2621 * CHOOSE(CONTROL!$C$22, $C$13, 100%, $E$13)</f>
        <v>6.2621000000000002</v>
      </c>
      <c r="J110" s="61">
        <f>3.1845 * CHOOSE(CONTROL!$C$22, $C$13, 100%, $E$13)</f>
        <v>3.1844999999999999</v>
      </c>
      <c r="K110" s="61">
        <f>3.1847 * CHOOSE(CONTROL!$C$22, $C$13, 100%, $E$13)</f>
        <v>3.1846999999999999</v>
      </c>
      <c r="L110" s="4"/>
      <c r="M110" s="4"/>
      <c r="N110" s="4"/>
    </row>
    <row r="111" spans="1:14" ht="15">
      <c r="A111" s="13">
        <v>45231</v>
      </c>
      <c r="B111" s="60">
        <f>3.0985 * CHOOSE(CONTROL!$C$22, $C$13, 100%, $E$13)</f>
        <v>3.0985</v>
      </c>
      <c r="C111" s="60">
        <f>3.0985 * CHOOSE(CONTROL!$C$22, $C$13, 100%, $E$13)</f>
        <v>3.0985</v>
      </c>
      <c r="D111" s="60">
        <f>3.1174 * CHOOSE(CONTROL!$C$22, $C$13, 100%, $E$13)</f>
        <v>3.1173999999999999</v>
      </c>
      <c r="E111" s="61">
        <f>3.1933 * CHOOSE(CONTROL!$C$22, $C$13, 100%, $E$13)</f>
        <v>3.1932999999999998</v>
      </c>
      <c r="F111" s="61">
        <f>3.1933 * CHOOSE(CONTROL!$C$22, $C$13, 100%, $E$13)</f>
        <v>3.1932999999999998</v>
      </c>
      <c r="G111" s="61">
        <f>3.1935 * CHOOSE(CONTROL!$C$22, $C$13, 100%, $E$13)</f>
        <v>3.1934999999999998</v>
      </c>
      <c r="H111" s="61">
        <f>6.275* CHOOSE(CONTROL!$C$22, $C$13, 100%, $E$13)</f>
        <v>6.2750000000000004</v>
      </c>
      <c r="I111" s="61">
        <f>6.2751 * CHOOSE(CONTROL!$C$22, $C$13, 100%, $E$13)</f>
        <v>6.2751000000000001</v>
      </c>
      <c r="J111" s="61">
        <f>3.1933 * CHOOSE(CONTROL!$C$22, $C$13, 100%, $E$13)</f>
        <v>3.1932999999999998</v>
      </c>
      <c r="K111" s="61">
        <f>3.1935 * CHOOSE(CONTROL!$C$22, $C$13, 100%, $E$13)</f>
        <v>3.1934999999999998</v>
      </c>
      <c r="L111" s="4"/>
      <c r="M111" s="4"/>
      <c r="N111" s="4"/>
    </row>
    <row r="112" spans="1:14" ht="15">
      <c r="A112" s="13">
        <v>45261</v>
      </c>
      <c r="B112" s="60">
        <f>3.0985 * CHOOSE(CONTROL!$C$22, $C$13, 100%, $E$13)</f>
        <v>3.0985</v>
      </c>
      <c r="C112" s="60">
        <f>3.0985 * CHOOSE(CONTROL!$C$22, $C$13, 100%, $E$13)</f>
        <v>3.0985</v>
      </c>
      <c r="D112" s="60">
        <f>3.1174 * CHOOSE(CONTROL!$C$22, $C$13, 100%, $E$13)</f>
        <v>3.1173999999999999</v>
      </c>
      <c r="E112" s="61">
        <f>3.1766 * CHOOSE(CONTROL!$C$22, $C$13, 100%, $E$13)</f>
        <v>3.1766000000000001</v>
      </c>
      <c r="F112" s="61">
        <f>3.1766 * CHOOSE(CONTROL!$C$22, $C$13, 100%, $E$13)</f>
        <v>3.1766000000000001</v>
      </c>
      <c r="G112" s="61">
        <f>3.1768 * CHOOSE(CONTROL!$C$22, $C$13, 100%, $E$13)</f>
        <v>3.1768000000000001</v>
      </c>
      <c r="H112" s="61">
        <f>6.288* CHOOSE(CONTROL!$C$22, $C$13, 100%, $E$13)</f>
        <v>6.2880000000000003</v>
      </c>
      <c r="I112" s="61">
        <f>6.2882 * CHOOSE(CONTROL!$C$22, $C$13, 100%, $E$13)</f>
        <v>6.2881999999999998</v>
      </c>
      <c r="J112" s="61">
        <f>3.1766 * CHOOSE(CONTROL!$C$22, $C$13, 100%, $E$13)</f>
        <v>3.1766000000000001</v>
      </c>
      <c r="K112" s="61">
        <f>3.1768 * CHOOSE(CONTROL!$C$22, $C$13, 100%, $E$13)</f>
        <v>3.1768000000000001</v>
      </c>
      <c r="L112" s="4"/>
      <c r="M112" s="4"/>
      <c r="N112" s="4"/>
    </row>
    <row r="113" spans="1:14" ht="15">
      <c r="A113" s="13">
        <v>45292</v>
      </c>
      <c r="B113" s="60">
        <f>3.129 * CHOOSE(CONTROL!$C$22, $C$13, 100%, $E$13)</f>
        <v>3.129</v>
      </c>
      <c r="C113" s="60">
        <f>3.129 * CHOOSE(CONTROL!$C$22, $C$13, 100%, $E$13)</f>
        <v>3.129</v>
      </c>
      <c r="D113" s="60">
        <f>3.1478 * CHOOSE(CONTROL!$C$22, $C$13, 100%, $E$13)</f>
        <v>3.1478000000000002</v>
      </c>
      <c r="E113" s="61">
        <f>3.255 * CHOOSE(CONTROL!$C$22, $C$13, 100%, $E$13)</f>
        <v>3.2549999999999999</v>
      </c>
      <c r="F113" s="61">
        <f>3.255 * CHOOSE(CONTROL!$C$22, $C$13, 100%, $E$13)</f>
        <v>3.2549999999999999</v>
      </c>
      <c r="G113" s="61">
        <f>3.2551 * CHOOSE(CONTROL!$C$22, $C$13, 100%, $E$13)</f>
        <v>3.2551000000000001</v>
      </c>
      <c r="H113" s="61">
        <f>6.3011* CHOOSE(CONTROL!$C$22, $C$13, 100%, $E$13)</f>
        <v>6.3010999999999999</v>
      </c>
      <c r="I113" s="61">
        <f>6.3013 * CHOOSE(CONTROL!$C$22, $C$13, 100%, $E$13)</f>
        <v>6.3013000000000003</v>
      </c>
      <c r="J113" s="61">
        <f>3.255 * CHOOSE(CONTROL!$C$22, $C$13, 100%, $E$13)</f>
        <v>3.2549999999999999</v>
      </c>
      <c r="K113" s="61">
        <f>3.2551 * CHOOSE(CONTROL!$C$22, $C$13, 100%, $E$13)</f>
        <v>3.2551000000000001</v>
      </c>
      <c r="L113" s="4"/>
      <c r="M113" s="4"/>
      <c r="N113" s="4"/>
    </row>
    <row r="114" spans="1:14" ht="15">
      <c r="A114" s="13">
        <v>45323</v>
      </c>
      <c r="B114" s="60">
        <f>3.1259 * CHOOSE(CONTROL!$C$22, $C$13, 100%, $E$13)</f>
        <v>3.1259000000000001</v>
      </c>
      <c r="C114" s="60">
        <f>3.1259 * CHOOSE(CONTROL!$C$22, $C$13, 100%, $E$13)</f>
        <v>3.1259000000000001</v>
      </c>
      <c r="D114" s="60">
        <f>3.1448 * CHOOSE(CONTROL!$C$22, $C$13, 100%, $E$13)</f>
        <v>3.1448</v>
      </c>
      <c r="E114" s="61">
        <f>3.2171 * CHOOSE(CONTROL!$C$22, $C$13, 100%, $E$13)</f>
        <v>3.2170999999999998</v>
      </c>
      <c r="F114" s="61">
        <f>3.2171 * CHOOSE(CONTROL!$C$22, $C$13, 100%, $E$13)</f>
        <v>3.2170999999999998</v>
      </c>
      <c r="G114" s="61">
        <f>3.2172 * CHOOSE(CONTROL!$C$22, $C$13, 100%, $E$13)</f>
        <v>3.2172000000000001</v>
      </c>
      <c r="H114" s="61">
        <f>6.3143* CHOOSE(CONTROL!$C$22, $C$13, 100%, $E$13)</f>
        <v>6.3143000000000002</v>
      </c>
      <c r="I114" s="61">
        <f>6.3144 * CHOOSE(CONTROL!$C$22, $C$13, 100%, $E$13)</f>
        <v>6.3144</v>
      </c>
      <c r="J114" s="61">
        <f>3.2171 * CHOOSE(CONTROL!$C$22, $C$13, 100%, $E$13)</f>
        <v>3.2170999999999998</v>
      </c>
      <c r="K114" s="61">
        <f>3.2172 * CHOOSE(CONTROL!$C$22, $C$13, 100%, $E$13)</f>
        <v>3.2172000000000001</v>
      </c>
      <c r="L114" s="4"/>
      <c r="M114" s="4"/>
      <c r="N114" s="4"/>
    </row>
    <row r="115" spans="1:14" ht="15">
      <c r="A115" s="13">
        <v>45352</v>
      </c>
      <c r="B115" s="60">
        <f>3.1229 * CHOOSE(CONTROL!$C$22, $C$13, 100%, $E$13)</f>
        <v>3.1229</v>
      </c>
      <c r="C115" s="60">
        <f>3.1229 * CHOOSE(CONTROL!$C$22, $C$13, 100%, $E$13)</f>
        <v>3.1229</v>
      </c>
      <c r="D115" s="60">
        <f>3.1417 * CHOOSE(CONTROL!$C$22, $C$13, 100%, $E$13)</f>
        <v>3.1417000000000002</v>
      </c>
      <c r="E115" s="61">
        <f>3.2432 * CHOOSE(CONTROL!$C$22, $C$13, 100%, $E$13)</f>
        <v>3.2431999999999999</v>
      </c>
      <c r="F115" s="61">
        <f>3.2432 * CHOOSE(CONTROL!$C$22, $C$13, 100%, $E$13)</f>
        <v>3.2431999999999999</v>
      </c>
      <c r="G115" s="61">
        <f>3.2433 * CHOOSE(CONTROL!$C$22, $C$13, 100%, $E$13)</f>
        <v>3.2433000000000001</v>
      </c>
      <c r="H115" s="61">
        <f>6.3274* CHOOSE(CONTROL!$C$22, $C$13, 100%, $E$13)</f>
        <v>6.3273999999999999</v>
      </c>
      <c r="I115" s="61">
        <f>6.3276 * CHOOSE(CONTROL!$C$22, $C$13, 100%, $E$13)</f>
        <v>6.3276000000000003</v>
      </c>
      <c r="J115" s="61">
        <f>3.2432 * CHOOSE(CONTROL!$C$22, $C$13, 100%, $E$13)</f>
        <v>3.2431999999999999</v>
      </c>
      <c r="K115" s="61">
        <f>3.2433 * CHOOSE(CONTROL!$C$22, $C$13, 100%, $E$13)</f>
        <v>3.2433000000000001</v>
      </c>
      <c r="L115" s="4"/>
      <c r="M115" s="4"/>
      <c r="N115" s="4"/>
    </row>
    <row r="116" spans="1:14" ht="15">
      <c r="A116" s="13">
        <v>45383</v>
      </c>
      <c r="B116" s="60">
        <f>3.1198 * CHOOSE(CONTROL!$C$22, $C$13, 100%, $E$13)</f>
        <v>3.1198000000000001</v>
      </c>
      <c r="C116" s="60">
        <f>3.1198 * CHOOSE(CONTROL!$C$22, $C$13, 100%, $E$13)</f>
        <v>3.1198000000000001</v>
      </c>
      <c r="D116" s="60">
        <f>3.1386 * CHOOSE(CONTROL!$C$22, $C$13, 100%, $E$13)</f>
        <v>3.1385999999999998</v>
      </c>
      <c r="E116" s="61">
        <f>3.2692 * CHOOSE(CONTROL!$C$22, $C$13, 100%, $E$13)</f>
        <v>3.2692000000000001</v>
      </c>
      <c r="F116" s="61">
        <f>3.2692 * CHOOSE(CONTROL!$C$22, $C$13, 100%, $E$13)</f>
        <v>3.2692000000000001</v>
      </c>
      <c r="G116" s="61">
        <f>3.2694 * CHOOSE(CONTROL!$C$22, $C$13, 100%, $E$13)</f>
        <v>3.2694000000000001</v>
      </c>
      <c r="H116" s="61">
        <f>6.3406* CHOOSE(CONTROL!$C$22, $C$13, 100%, $E$13)</f>
        <v>6.3406000000000002</v>
      </c>
      <c r="I116" s="61">
        <f>6.3408 * CHOOSE(CONTROL!$C$22, $C$13, 100%, $E$13)</f>
        <v>6.3407999999999998</v>
      </c>
      <c r="J116" s="61">
        <f>3.2692 * CHOOSE(CONTROL!$C$22, $C$13, 100%, $E$13)</f>
        <v>3.2692000000000001</v>
      </c>
      <c r="K116" s="61">
        <f>3.2694 * CHOOSE(CONTROL!$C$22, $C$13, 100%, $E$13)</f>
        <v>3.2694000000000001</v>
      </c>
      <c r="L116" s="4"/>
      <c r="M116" s="4"/>
      <c r="N116" s="4"/>
    </row>
    <row r="117" spans="1:14" ht="15">
      <c r="A117" s="13">
        <v>45413</v>
      </c>
      <c r="B117" s="60">
        <f>3.1198 * CHOOSE(CONTROL!$C$22, $C$13, 100%, $E$13)</f>
        <v>3.1198000000000001</v>
      </c>
      <c r="C117" s="60">
        <f>3.1198 * CHOOSE(CONTROL!$C$22, $C$13, 100%, $E$13)</f>
        <v>3.1198000000000001</v>
      </c>
      <c r="D117" s="60">
        <f>3.1574 * CHOOSE(CONTROL!$C$22, $C$13, 100%, $E$13)</f>
        <v>3.1574</v>
      </c>
      <c r="E117" s="61">
        <f>3.2806 * CHOOSE(CONTROL!$C$22, $C$13, 100%, $E$13)</f>
        <v>3.2806000000000002</v>
      </c>
      <c r="F117" s="61">
        <f>3.2806 * CHOOSE(CONTROL!$C$22, $C$13, 100%, $E$13)</f>
        <v>3.2806000000000002</v>
      </c>
      <c r="G117" s="61">
        <f>3.2829 * CHOOSE(CONTROL!$C$22, $C$13, 100%, $E$13)</f>
        <v>3.2829000000000002</v>
      </c>
      <c r="H117" s="61">
        <f>6.3538* CHOOSE(CONTROL!$C$22, $C$13, 100%, $E$13)</f>
        <v>6.3537999999999997</v>
      </c>
      <c r="I117" s="61">
        <f>6.3561 * CHOOSE(CONTROL!$C$22, $C$13, 100%, $E$13)</f>
        <v>6.3560999999999996</v>
      </c>
      <c r="J117" s="61">
        <f>3.2806 * CHOOSE(CONTROL!$C$22, $C$13, 100%, $E$13)</f>
        <v>3.2806000000000002</v>
      </c>
      <c r="K117" s="61">
        <f>3.2829 * CHOOSE(CONTROL!$C$22, $C$13, 100%, $E$13)</f>
        <v>3.2829000000000002</v>
      </c>
      <c r="L117" s="4"/>
      <c r="M117" s="4"/>
      <c r="N117" s="4"/>
    </row>
    <row r="118" spans="1:14" ht="15">
      <c r="A118" s="13">
        <v>45444</v>
      </c>
      <c r="B118" s="60">
        <f>3.1258 * CHOOSE(CONTROL!$C$22, $C$13, 100%, $E$13)</f>
        <v>3.1257999999999999</v>
      </c>
      <c r="C118" s="60">
        <f>3.1258 * CHOOSE(CONTROL!$C$22, $C$13, 100%, $E$13)</f>
        <v>3.1257999999999999</v>
      </c>
      <c r="D118" s="60">
        <f>3.1635 * CHOOSE(CONTROL!$C$22, $C$13, 100%, $E$13)</f>
        <v>3.1635</v>
      </c>
      <c r="E118" s="61">
        <f>3.2735 * CHOOSE(CONTROL!$C$22, $C$13, 100%, $E$13)</f>
        <v>3.2734999999999999</v>
      </c>
      <c r="F118" s="61">
        <f>3.2735 * CHOOSE(CONTROL!$C$22, $C$13, 100%, $E$13)</f>
        <v>3.2734999999999999</v>
      </c>
      <c r="G118" s="61">
        <f>3.2758 * CHOOSE(CONTROL!$C$22, $C$13, 100%, $E$13)</f>
        <v>3.2757999999999998</v>
      </c>
      <c r="H118" s="61">
        <f>6.367* CHOOSE(CONTROL!$C$22, $C$13, 100%, $E$13)</f>
        <v>6.367</v>
      </c>
      <c r="I118" s="61">
        <f>6.3694 * CHOOSE(CONTROL!$C$22, $C$13, 100%, $E$13)</f>
        <v>6.3693999999999997</v>
      </c>
      <c r="J118" s="61">
        <f>3.2735 * CHOOSE(CONTROL!$C$22, $C$13, 100%, $E$13)</f>
        <v>3.2734999999999999</v>
      </c>
      <c r="K118" s="61">
        <f>3.2758 * CHOOSE(CONTROL!$C$22, $C$13, 100%, $E$13)</f>
        <v>3.2757999999999998</v>
      </c>
      <c r="L118" s="4"/>
      <c r="M118" s="4"/>
      <c r="N118" s="4"/>
    </row>
    <row r="119" spans="1:14" ht="15">
      <c r="A119" s="13">
        <v>45474</v>
      </c>
      <c r="B119" s="60">
        <f>3.1848 * CHOOSE(CONTROL!$C$22, $C$13, 100%, $E$13)</f>
        <v>3.1848000000000001</v>
      </c>
      <c r="C119" s="60">
        <f>3.1848 * CHOOSE(CONTROL!$C$22, $C$13, 100%, $E$13)</f>
        <v>3.1848000000000001</v>
      </c>
      <c r="D119" s="60">
        <f>3.2225 * CHOOSE(CONTROL!$C$22, $C$13, 100%, $E$13)</f>
        <v>3.2225000000000001</v>
      </c>
      <c r="E119" s="61">
        <f>3.3462 * CHOOSE(CONTROL!$C$22, $C$13, 100%, $E$13)</f>
        <v>3.3462000000000001</v>
      </c>
      <c r="F119" s="61">
        <f>3.3462 * CHOOSE(CONTROL!$C$22, $C$13, 100%, $E$13)</f>
        <v>3.3462000000000001</v>
      </c>
      <c r="G119" s="61">
        <f>3.3485 * CHOOSE(CONTROL!$C$22, $C$13, 100%, $E$13)</f>
        <v>3.3485</v>
      </c>
      <c r="H119" s="61">
        <f>6.3803* CHOOSE(CONTROL!$C$22, $C$13, 100%, $E$13)</f>
        <v>6.3803000000000001</v>
      </c>
      <c r="I119" s="61">
        <f>6.3826 * CHOOSE(CONTROL!$C$22, $C$13, 100%, $E$13)</f>
        <v>6.3826000000000001</v>
      </c>
      <c r="J119" s="61">
        <f>3.3462 * CHOOSE(CONTROL!$C$22, $C$13, 100%, $E$13)</f>
        <v>3.3462000000000001</v>
      </c>
      <c r="K119" s="61">
        <f>3.3485 * CHOOSE(CONTROL!$C$22, $C$13, 100%, $E$13)</f>
        <v>3.3485</v>
      </c>
      <c r="L119" s="4"/>
      <c r="M119" s="4"/>
      <c r="N119" s="4"/>
    </row>
    <row r="120" spans="1:14" ht="15">
      <c r="A120" s="13">
        <v>45505</v>
      </c>
      <c r="B120" s="60">
        <f>3.1915 * CHOOSE(CONTROL!$C$22, $C$13, 100%, $E$13)</f>
        <v>3.1915</v>
      </c>
      <c r="C120" s="60">
        <f>3.1915 * CHOOSE(CONTROL!$C$22, $C$13, 100%, $E$13)</f>
        <v>3.1915</v>
      </c>
      <c r="D120" s="60">
        <f>3.2291 * CHOOSE(CONTROL!$C$22, $C$13, 100%, $E$13)</f>
        <v>3.2290999999999999</v>
      </c>
      <c r="E120" s="61">
        <f>3.3167 * CHOOSE(CONTROL!$C$22, $C$13, 100%, $E$13)</f>
        <v>3.3167</v>
      </c>
      <c r="F120" s="61">
        <f>3.3167 * CHOOSE(CONTROL!$C$22, $C$13, 100%, $E$13)</f>
        <v>3.3167</v>
      </c>
      <c r="G120" s="61">
        <f>3.319 * CHOOSE(CONTROL!$C$22, $C$13, 100%, $E$13)</f>
        <v>3.319</v>
      </c>
      <c r="H120" s="61">
        <f>6.3936* CHOOSE(CONTROL!$C$22, $C$13, 100%, $E$13)</f>
        <v>6.3936000000000002</v>
      </c>
      <c r="I120" s="61">
        <f>6.3959 * CHOOSE(CONTROL!$C$22, $C$13, 100%, $E$13)</f>
        <v>6.3959000000000001</v>
      </c>
      <c r="J120" s="61">
        <f>3.3167 * CHOOSE(CONTROL!$C$22, $C$13, 100%, $E$13)</f>
        <v>3.3167</v>
      </c>
      <c r="K120" s="61">
        <f>3.319 * CHOOSE(CONTROL!$C$22, $C$13, 100%, $E$13)</f>
        <v>3.319</v>
      </c>
      <c r="L120" s="4"/>
      <c r="M120" s="4"/>
      <c r="N120" s="4"/>
    </row>
    <row r="121" spans="1:14" ht="15">
      <c r="A121" s="13">
        <v>45536</v>
      </c>
      <c r="B121" s="60">
        <f>3.1885 * CHOOSE(CONTROL!$C$22, $C$13, 100%, $E$13)</f>
        <v>3.1884999999999999</v>
      </c>
      <c r="C121" s="60">
        <f>3.1885 * CHOOSE(CONTROL!$C$22, $C$13, 100%, $E$13)</f>
        <v>3.1884999999999999</v>
      </c>
      <c r="D121" s="60">
        <f>3.2261 * CHOOSE(CONTROL!$C$22, $C$13, 100%, $E$13)</f>
        <v>3.2261000000000002</v>
      </c>
      <c r="E121" s="61">
        <f>3.3108 * CHOOSE(CONTROL!$C$22, $C$13, 100%, $E$13)</f>
        <v>3.3108</v>
      </c>
      <c r="F121" s="61">
        <f>3.3108 * CHOOSE(CONTROL!$C$22, $C$13, 100%, $E$13)</f>
        <v>3.3108</v>
      </c>
      <c r="G121" s="61">
        <f>3.3131 * CHOOSE(CONTROL!$C$22, $C$13, 100%, $E$13)</f>
        <v>3.3130999999999999</v>
      </c>
      <c r="H121" s="61">
        <f>6.4069* CHOOSE(CONTROL!$C$22, $C$13, 100%, $E$13)</f>
        <v>6.4069000000000003</v>
      </c>
      <c r="I121" s="61">
        <f>6.4092 * CHOOSE(CONTROL!$C$22, $C$13, 100%, $E$13)</f>
        <v>6.4092000000000002</v>
      </c>
      <c r="J121" s="61">
        <f>3.3108 * CHOOSE(CONTROL!$C$22, $C$13, 100%, $E$13)</f>
        <v>3.3108</v>
      </c>
      <c r="K121" s="61">
        <f>3.3131 * CHOOSE(CONTROL!$C$22, $C$13, 100%, $E$13)</f>
        <v>3.3130999999999999</v>
      </c>
      <c r="L121" s="4"/>
      <c r="M121" s="4"/>
      <c r="N121" s="4"/>
    </row>
    <row r="122" spans="1:14" ht="15">
      <c r="A122" s="13">
        <v>45566</v>
      </c>
      <c r="B122" s="60">
        <f>3.1807 * CHOOSE(CONTROL!$C$22, $C$13, 100%, $E$13)</f>
        <v>3.1806999999999999</v>
      </c>
      <c r="C122" s="60">
        <f>3.1807 * CHOOSE(CONTROL!$C$22, $C$13, 100%, $E$13)</f>
        <v>3.1806999999999999</v>
      </c>
      <c r="D122" s="60">
        <f>3.1995 * CHOOSE(CONTROL!$C$22, $C$13, 100%, $E$13)</f>
        <v>3.1995</v>
      </c>
      <c r="E122" s="61">
        <f>3.3126 * CHOOSE(CONTROL!$C$22, $C$13, 100%, $E$13)</f>
        <v>3.3126000000000002</v>
      </c>
      <c r="F122" s="61">
        <f>3.3126 * CHOOSE(CONTROL!$C$22, $C$13, 100%, $E$13)</f>
        <v>3.3126000000000002</v>
      </c>
      <c r="G122" s="61">
        <f>3.3127 * CHOOSE(CONTROL!$C$22, $C$13, 100%, $E$13)</f>
        <v>3.3127</v>
      </c>
      <c r="H122" s="61">
        <f>6.4203* CHOOSE(CONTROL!$C$22, $C$13, 100%, $E$13)</f>
        <v>6.4203000000000001</v>
      </c>
      <c r="I122" s="61">
        <f>6.4204 * CHOOSE(CONTROL!$C$22, $C$13, 100%, $E$13)</f>
        <v>6.4203999999999999</v>
      </c>
      <c r="J122" s="61">
        <f>3.3126 * CHOOSE(CONTROL!$C$22, $C$13, 100%, $E$13)</f>
        <v>3.3126000000000002</v>
      </c>
      <c r="K122" s="61">
        <f>3.3127 * CHOOSE(CONTROL!$C$22, $C$13, 100%, $E$13)</f>
        <v>3.3127</v>
      </c>
      <c r="L122" s="4"/>
      <c r="M122" s="4"/>
      <c r="N122" s="4"/>
    </row>
    <row r="123" spans="1:14" ht="15">
      <c r="A123" s="13">
        <v>45597</v>
      </c>
      <c r="B123" s="60">
        <f>3.1837 * CHOOSE(CONTROL!$C$22, $C$13, 100%, $E$13)</f>
        <v>3.1837</v>
      </c>
      <c r="C123" s="60">
        <f>3.1837 * CHOOSE(CONTROL!$C$22, $C$13, 100%, $E$13)</f>
        <v>3.1837</v>
      </c>
      <c r="D123" s="60">
        <f>3.2025 * CHOOSE(CONTROL!$C$22, $C$13, 100%, $E$13)</f>
        <v>3.2025000000000001</v>
      </c>
      <c r="E123" s="61">
        <f>3.3223 * CHOOSE(CONTROL!$C$22, $C$13, 100%, $E$13)</f>
        <v>3.3222999999999998</v>
      </c>
      <c r="F123" s="61">
        <f>3.3223 * CHOOSE(CONTROL!$C$22, $C$13, 100%, $E$13)</f>
        <v>3.3222999999999998</v>
      </c>
      <c r="G123" s="61">
        <f>3.3224 * CHOOSE(CONTROL!$C$22, $C$13, 100%, $E$13)</f>
        <v>3.3224</v>
      </c>
      <c r="H123" s="61">
        <f>6.4336* CHOOSE(CONTROL!$C$22, $C$13, 100%, $E$13)</f>
        <v>6.4336000000000002</v>
      </c>
      <c r="I123" s="61">
        <f>6.4338 * CHOOSE(CONTROL!$C$22, $C$13, 100%, $E$13)</f>
        <v>6.4337999999999997</v>
      </c>
      <c r="J123" s="61">
        <f>3.3223 * CHOOSE(CONTROL!$C$22, $C$13, 100%, $E$13)</f>
        <v>3.3222999999999998</v>
      </c>
      <c r="K123" s="61">
        <f>3.3224 * CHOOSE(CONTROL!$C$22, $C$13, 100%, $E$13)</f>
        <v>3.3224</v>
      </c>
      <c r="L123" s="4"/>
      <c r="M123" s="4"/>
      <c r="N123" s="4"/>
    </row>
    <row r="124" spans="1:14" ht="15">
      <c r="A124" s="13">
        <v>45627</v>
      </c>
      <c r="B124" s="60">
        <f>3.1837 * CHOOSE(CONTROL!$C$22, $C$13, 100%, $E$13)</f>
        <v>3.1837</v>
      </c>
      <c r="C124" s="60">
        <f>3.1837 * CHOOSE(CONTROL!$C$22, $C$13, 100%, $E$13)</f>
        <v>3.1837</v>
      </c>
      <c r="D124" s="60">
        <f>3.2025 * CHOOSE(CONTROL!$C$22, $C$13, 100%, $E$13)</f>
        <v>3.2025000000000001</v>
      </c>
      <c r="E124" s="61">
        <f>3.3033 * CHOOSE(CONTROL!$C$22, $C$13, 100%, $E$13)</f>
        <v>3.3033000000000001</v>
      </c>
      <c r="F124" s="61">
        <f>3.3033 * CHOOSE(CONTROL!$C$22, $C$13, 100%, $E$13)</f>
        <v>3.3033000000000001</v>
      </c>
      <c r="G124" s="61">
        <f>3.3035 * CHOOSE(CONTROL!$C$22, $C$13, 100%, $E$13)</f>
        <v>3.3035000000000001</v>
      </c>
      <c r="H124" s="61">
        <f>6.447* CHOOSE(CONTROL!$C$22, $C$13, 100%, $E$13)</f>
        <v>6.4470000000000001</v>
      </c>
      <c r="I124" s="61">
        <f>6.4472 * CHOOSE(CONTROL!$C$22, $C$13, 100%, $E$13)</f>
        <v>6.4471999999999996</v>
      </c>
      <c r="J124" s="61">
        <f>3.3033 * CHOOSE(CONTROL!$C$22, $C$13, 100%, $E$13)</f>
        <v>3.3033000000000001</v>
      </c>
      <c r="K124" s="61">
        <f>3.3035 * CHOOSE(CONTROL!$C$22, $C$13, 100%, $E$13)</f>
        <v>3.3035000000000001</v>
      </c>
      <c r="L124" s="4"/>
      <c r="M124" s="4"/>
      <c r="N124" s="4"/>
    </row>
    <row r="125" spans="1:14" ht="15">
      <c r="A125" s="13">
        <v>45658</v>
      </c>
      <c r="B125" s="60">
        <f>3.21 * CHOOSE(CONTROL!$C$22, $C$13, 100%, $E$13)</f>
        <v>3.21</v>
      </c>
      <c r="C125" s="60">
        <f>3.21 * CHOOSE(CONTROL!$C$22, $C$13, 100%, $E$13)</f>
        <v>3.21</v>
      </c>
      <c r="D125" s="60">
        <f>3.2288 * CHOOSE(CONTROL!$C$22, $C$13, 100%, $E$13)</f>
        <v>3.2288000000000001</v>
      </c>
      <c r="E125" s="61">
        <f>3.3861 * CHOOSE(CONTROL!$C$22, $C$13, 100%, $E$13)</f>
        <v>3.3860999999999999</v>
      </c>
      <c r="F125" s="61">
        <f>3.3861 * CHOOSE(CONTROL!$C$22, $C$13, 100%, $E$13)</f>
        <v>3.3860999999999999</v>
      </c>
      <c r="G125" s="61">
        <f>3.3863 * CHOOSE(CONTROL!$C$22, $C$13, 100%, $E$13)</f>
        <v>3.3862999999999999</v>
      </c>
      <c r="H125" s="61">
        <f>6.4605* CHOOSE(CONTROL!$C$22, $C$13, 100%, $E$13)</f>
        <v>6.4604999999999997</v>
      </c>
      <c r="I125" s="61">
        <f>6.4606 * CHOOSE(CONTROL!$C$22, $C$13, 100%, $E$13)</f>
        <v>6.4606000000000003</v>
      </c>
      <c r="J125" s="61">
        <f>3.3861 * CHOOSE(CONTROL!$C$22, $C$13, 100%, $E$13)</f>
        <v>3.3860999999999999</v>
      </c>
      <c r="K125" s="61">
        <f>3.3863 * CHOOSE(CONTROL!$C$22, $C$13, 100%, $E$13)</f>
        <v>3.3862999999999999</v>
      </c>
      <c r="L125" s="4"/>
      <c r="M125" s="4"/>
      <c r="N125" s="4"/>
    </row>
    <row r="126" spans="1:14" ht="15">
      <c r="A126" s="13">
        <v>45689</v>
      </c>
      <c r="B126" s="60">
        <f>3.2069 * CHOOSE(CONTROL!$C$22, $C$13, 100%, $E$13)</f>
        <v>3.2069000000000001</v>
      </c>
      <c r="C126" s="60">
        <f>3.2069 * CHOOSE(CONTROL!$C$22, $C$13, 100%, $E$13)</f>
        <v>3.2069000000000001</v>
      </c>
      <c r="D126" s="60">
        <f>3.2257 * CHOOSE(CONTROL!$C$22, $C$13, 100%, $E$13)</f>
        <v>3.2256999999999998</v>
      </c>
      <c r="E126" s="61">
        <f>3.3429 * CHOOSE(CONTROL!$C$22, $C$13, 100%, $E$13)</f>
        <v>3.3429000000000002</v>
      </c>
      <c r="F126" s="61">
        <f>3.3429 * CHOOSE(CONTROL!$C$22, $C$13, 100%, $E$13)</f>
        <v>3.3429000000000002</v>
      </c>
      <c r="G126" s="61">
        <f>3.3431 * CHOOSE(CONTROL!$C$22, $C$13, 100%, $E$13)</f>
        <v>3.3431000000000002</v>
      </c>
      <c r="H126" s="61">
        <f>6.4739* CHOOSE(CONTROL!$C$22, $C$13, 100%, $E$13)</f>
        <v>6.4739000000000004</v>
      </c>
      <c r="I126" s="61">
        <f>6.4741 * CHOOSE(CONTROL!$C$22, $C$13, 100%, $E$13)</f>
        <v>6.4741</v>
      </c>
      <c r="J126" s="61">
        <f>3.3429 * CHOOSE(CONTROL!$C$22, $C$13, 100%, $E$13)</f>
        <v>3.3429000000000002</v>
      </c>
      <c r="K126" s="61">
        <f>3.3431 * CHOOSE(CONTROL!$C$22, $C$13, 100%, $E$13)</f>
        <v>3.3431000000000002</v>
      </c>
      <c r="L126" s="4"/>
      <c r="M126" s="4"/>
      <c r="N126" s="4"/>
    </row>
    <row r="127" spans="1:14" ht="15">
      <c r="A127" s="13">
        <v>45717</v>
      </c>
      <c r="B127" s="60">
        <f>3.2039 * CHOOSE(CONTROL!$C$22, $C$13, 100%, $E$13)</f>
        <v>3.2039</v>
      </c>
      <c r="C127" s="60">
        <f>3.2039 * CHOOSE(CONTROL!$C$22, $C$13, 100%, $E$13)</f>
        <v>3.2039</v>
      </c>
      <c r="D127" s="60">
        <f>3.2227 * CHOOSE(CONTROL!$C$22, $C$13, 100%, $E$13)</f>
        <v>3.2227000000000001</v>
      </c>
      <c r="E127" s="61">
        <f>3.3732 * CHOOSE(CONTROL!$C$22, $C$13, 100%, $E$13)</f>
        <v>3.3732000000000002</v>
      </c>
      <c r="F127" s="61">
        <f>3.3732 * CHOOSE(CONTROL!$C$22, $C$13, 100%, $E$13)</f>
        <v>3.3732000000000002</v>
      </c>
      <c r="G127" s="61">
        <f>3.3733 * CHOOSE(CONTROL!$C$22, $C$13, 100%, $E$13)</f>
        <v>3.3733</v>
      </c>
      <c r="H127" s="61">
        <f>6.4874* CHOOSE(CONTROL!$C$22, $C$13, 100%, $E$13)</f>
        <v>6.4874000000000001</v>
      </c>
      <c r="I127" s="61">
        <f>6.4876 * CHOOSE(CONTROL!$C$22, $C$13, 100%, $E$13)</f>
        <v>6.4875999999999996</v>
      </c>
      <c r="J127" s="61">
        <f>3.3732 * CHOOSE(CONTROL!$C$22, $C$13, 100%, $E$13)</f>
        <v>3.3732000000000002</v>
      </c>
      <c r="K127" s="61">
        <f>3.3733 * CHOOSE(CONTROL!$C$22, $C$13, 100%, $E$13)</f>
        <v>3.3733</v>
      </c>
      <c r="L127" s="4"/>
      <c r="M127" s="4"/>
      <c r="N127" s="4"/>
    </row>
    <row r="128" spans="1:14" ht="15">
      <c r="A128" s="13">
        <v>45748</v>
      </c>
      <c r="B128" s="60">
        <f>3.2008 * CHOOSE(CONTROL!$C$22, $C$13, 100%, $E$13)</f>
        <v>3.2008000000000001</v>
      </c>
      <c r="C128" s="60">
        <f>3.2008 * CHOOSE(CONTROL!$C$22, $C$13, 100%, $E$13)</f>
        <v>3.2008000000000001</v>
      </c>
      <c r="D128" s="60">
        <f>3.2196 * CHOOSE(CONTROL!$C$22, $C$13, 100%, $E$13)</f>
        <v>3.2195999999999998</v>
      </c>
      <c r="E128" s="61">
        <f>3.4037 * CHOOSE(CONTROL!$C$22, $C$13, 100%, $E$13)</f>
        <v>3.4037000000000002</v>
      </c>
      <c r="F128" s="61">
        <f>3.4037 * CHOOSE(CONTROL!$C$22, $C$13, 100%, $E$13)</f>
        <v>3.4037000000000002</v>
      </c>
      <c r="G128" s="61">
        <f>3.4039 * CHOOSE(CONTROL!$C$22, $C$13, 100%, $E$13)</f>
        <v>3.4039000000000001</v>
      </c>
      <c r="H128" s="61">
        <f>6.5009* CHOOSE(CONTROL!$C$22, $C$13, 100%, $E$13)</f>
        <v>6.5008999999999997</v>
      </c>
      <c r="I128" s="61">
        <f>6.5011 * CHOOSE(CONTROL!$C$22, $C$13, 100%, $E$13)</f>
        <v>6.5011000000000001</v>
      </c>
      <c r="J128" s="61">
        <f>3.4037 * CHOOSE(CONTROL!$C$22, $C$13, 100%, $E$13)</f>
        <v>3.4037000000000002</v>
      </c>
      <c r="K128" s="61">
        <f>3.4039 * CHOOSE(CONTROL!$C$22, $C$13, 100%, $E$13)</f>
        <v>3.4039000000000001</v>
      </c>
      <c r="L128" s="4"/>
      <c r="M128" s="4"/>
      <c r="N128" s="4"/>
    </row>
    <row r="129" spans="1:14" ht="15">
      <c r="A129" s="13">
        <v>45778</v>
      </c>
      <c r="B129" s="60">
        <f>3.2008 * CHOOSE(CONTROL!$C$22, $C$13, 100%, $E$13)</f>
        <v>3.2008000000000001</v>
      </c>
      <c r="C129" s="60">
        <f>3.2008 * CHOOSE(CONTROL!$C$22, $C$13, 100%, $E$13)</f>
        <v>3.2008000000000001</v>
      </c>
      <c r="D129" s="60">
        <f>3.2384 * CHOOSE(CONTROL!$C$22, $C$13, 100%, $E$13)</f>
        <v>3.2383999999999999</v>
      </c>
      <c r="E129" s="61">
        <f>3.4168 * CHOOSE(CONTROL!$C$22, $C$13, 100%, $E$13)</f>
        <v>3.4167999999999998</v>
      </c>
      <c r="F129" s="61">
        <f>3.4168 * CHOOSE(CONTROL!$C$22, $C$13, 100%, $E$13)</f>
        <v>3.4167999999999998</v>
      </c>
      <c r="G129" s="61">
        <f>3.4191 * CHOOSE(CONTROL!$C$22, $C$13, 100%, $E$13)</f>
        <v>3.4190999999999998</v>
      </c>
      <c r="H129" s="61">
        <f>6.5145* CHOOSE(CONTROL!$C$22, $C$13, 100%, $E$13)</f>
        <v>6.5145</v>
      </c>
      <c r="I129" s="61">
        <f>6.5168 * CHOOSE(CONTROL!$C$22, $C$13, 100%, $E$13)</f>
        <v>6.5167999999999999</v>
      </c>
      <c r="J129" s="61">
        <f>3.4168 * CHOOSE(CONTROL!$C$22, $C$13, 100%, $E$13)</f>
        <v>3.4167999999999998</v>
      </c>
      <c r="K129" s="61">
        <f>3.4191 * CHOOSE(CONTROL!$C$22, $C$13, 100%, $E$13)</f>
        <v>3.4190999999999998</v>
      </c>
      <c r="L129" s="4"/>
      <c r="M129" s="4"/>
      <c r="N129" s="4"/>
    </row>
    <row r="130" spans="1:14" ht="15">
      <c r="A130" s="13">
        <v>45809</v>
      </c>
      <c r="B130" s="60">
        <f>3.2069 * CHOOSE(CONTROL!$C$22, $C$13, 100%, $E$13)</f>
        <v>3.2069000000000001</v>
      </c>
      <c r="C130" s="60">
        <f>3.2069 * CHOOSE(CONTROL!$C$22, $C$13, 100%, $E$13)</f>
        <v>3.2069000000000001</v>
      </c>
      <c r="D130" s="60">
        <f>3.2445 * CHOOSE(CONTROL!$C$22, $C$13, 100%, $E$13)</f>
        <v>3.2444999999999999</v>
      </c>
      <c r="E130" s="61">
        <f>3.408 * CHOOSE(CONTROL!$C$22, $C$13, 100%, $E$13)</f>
        <v>3.4079999999999999</v>
      </c>
      <c r="F130" s="61">
        <f>3.408 * CHOOSE(CONTROL!$C$22, $C$13, 100%, $E$13)</f>
        <v>3.4079999999999999</v>
      </c>
      <c r="G130" s="61">
        <f>3.4103 * CHOOSE(CONTROL!$C$22, $C$13, 100%, $E$13)</f>
        <v>3.4102999999999999</v>
      </c>
      <c r="H130" s="61">
        <f>6.5281* CHOOSE(CONTROL!$C$22, $C$13, 100%, $E$13)</f>
        <v>6.5281000000000002</v>
      </c>
      <c r="I130" s="61">
        <f>6.5304 * CHOOSE(CONTROL!$C$22, $C$13, 100%, $E$13)</f>
        <v>6.5304000000000002</v>
      </c>
      <c r="J130" s="61">
        <f>3.408 * CHOOSE(CONTROL!$C$22, $C$13, 100%, $E$13)</f>
        <v>3.4079999999999999</v>
      </c>
      <c r="K130" s="61">
        <f>3.4103 * CHOOSE(CONTROL!$C$22, $C$13, 100%, $E$13)</f>
        <v>3.4102999999999999</v>
      </c>
      <c r="L130" s="4"/>
      <c r="M130" s="4"/>
      <c r="N130" s="4"/>
    </row>
    <row r="131" spans="1:14" ht="15">
      <c r="A131" s="13">
        <v>45839</v>
      </c>
      <c r="B131" s="60">
        <f>3.2555 * CHOOSE(CONTROL!$C$22, $C$13, 100%, $E$13)</f>
        <v>3.2555000000000001</v>
      </c>
      <c r="C131" s="60">
        <f>3.2555 * CHOOSE(CONTROL!$C$22, $C$13, 100%, $E$13)</f>
        <v>3.2555000000000001</v>
      </c>
      <c r="D131" s="60">
        <f>3.2931 * CHOOSE(CONTROL!$C$22, $C$13, 100%, $E$13)</f>
        <v>3.2930999999999999</v>
      </c>
      <c r="E131" s="61">
        <f>3.4617 * CHOOSE(CONTROL!$C$22, $C$13, 100%, $E$13)</f>
        <v>3.4617</v>
      </c>
      <c r="F131" s="61">
        <f>3.4617 * CHOOSE(CONTROL!$C$22, $C$13, 100%, $E$13)</f>
        <v>3.4617</v>
      </c>
      <c r="G131" s="61">
        <f>3.464 * CHOOSE(CONTROL!$C$22, $C$13, 100%, $E$13)</f>
        <v>3.464</v>
      </c>
      <c r="H131" s="61">
        <f>6.5417* CHOOSE(CONTROL!$C$22, $C$13, 100%, $E$13)</f>
        <v>6.5416999999999996</v>
      </c>
      <c r="I131" s="61">
        <f>6.544 * CHOOSE(CONTROL!$C$22, $C$13, 100%, $E$13)</f>
        <v>6.5439999999999996</v>
      </c>
      <c r="J131" s="61">
        <f>3.4617 * CHOOSE(CONTROL!$C$22, $C$13, 100%, $E$13)</f>
        <v>3.4617</v>
      </c>
      <c r="K131" s="61">
        <f>3.464 * CHOOSE(CONTROL!$C$22, $C$13, 100%, $E$13)</f>
        <v>3.464</v>
      </c>
      <c r="L131" s="4"/>
      <c r="M131" s="4"/>
      <c r="N131" s="4"/>
    </row>
    <row r="132" spans="1:14" ht="15">
      <c r="A132" s="13">
        <v>45870</v>
      </c>
      <c r="B132" s="60">
        <f>3.2622 * CHOOSE(CONTROL!$C$22, $C$13, 100%, $E$13)</f>
        <v>3.2622</v>
      </c>
      <c r="C132" s="60">
        <f>3.2622 * CHOOSE(CONTROL!$C$22, $C$13, 100%, $E$13)</f>
        <v>3.2622</v>
      </c>
      <c r="D132" s="60">
        <f>3.2998 * CHOOSE(CONTROL!$C$22, $C$13, 100%, $E$13)</f>
        <v>3.2997999999999998</v>
      </c>
      <c r="E132" s="61">
        <f>3.4272 * CHOOSE(CONTROL!$C$22, $C$13, 100%, $E$13)</f>
        <v>3.4272</v>
      </c>
      <c r="F132" s="61">
        <f>3.4272 * CHOOSE(CONTROL!$C$22, $C$13, 100%, $E$13)</f>
        <v>3.4272</v>
      </c>
      <c r="G132" s="61">
        <f>3.4295 * CHOOSE(CONTROL!$C$22, $C$13, 100%, $E$13)</f>
        <v>3.4295</v>
      </c>
      <c r="H132" s="61">
        <f>6.5553* CHOOSE(CONTROL!$C$22, $C$13, 100%, $E$13)</f>
        <v>6.5552999999999999</v>
      </c>
      <c r="I132" s="61">
        <f>6.5576 * CHOOSE(CONTROL!$C$22, $C$13, 100%, $E$13)</f>
        <v>6.5575999999999999</v>
      </c>
      <c r="J132" s="61">
        <f>3.4272 * CHOOSE(CONTROL!$C$22, $C$13, 100%, $E$13)</f>
        <v>3.4272</v>
      </c>
      <c r="K132" s="61">
        <f>3.4295 * CHOOSE(CONTROL!$C$22, $C$13, 100%, $E$13)</f>
        <v>3.4295</v>
      </c>
      <c r="L132" s="4"/>
      <c r="M132" s="4"/>
      <c r="N132" s="4"/>
    </row>
    <row r="133" spans="1:14" ht="15">
      <c r="A133" s="13">
        <v>45901</v>
      </c>
      <c r="B133" s="60">
        <f>3.2592 * CHOOSE(CONTROL!$C$22, $C$13, 100%, $E$13)</f>
        <v>3.2591999999999999</v>
      </c>
      <c r="C133" s="60">
        <f>3.2592 * CHOOSE(CONTROL!$C$22, $C$13, 100%, $E$13)</f>
        <v>3.2591999999999999</v>
      </c>
      <c r="D133" s="60">
        <f>3.2968 * CHOOSE(CONTROL!$C$22, $C$13, 100%, $E$13)</f>
        <v>3.2968000000000002</v>
      </c>
      <c r="E133" s="61">
        <f>3.4207 * CHOOSE(CONTROL!$C$22, $C$13, 100%, $E$13)</f>
        <v>3.4207000000000001</v>
      </c>
      <c r="F133" s="61">
        <f>3.4207 * CHOOSE(CONTROL!$C$22, $C$13, 100%, $E$13)</f>
        <v>3.4207000000000001</v>
      </c>
      <c r="G133" s="61">
        <f>3.423 * CHOOSE(CONTROL!$C$22, $C$13, 100%, $E$13)</f>
        <v>3.423</v>
      </c>
      <c r="H133" s="61">
        <f>6.5689* CHOOSE(CONTROL!$C$22, $C$13, 100%, $E$13)</f>
        <v>6.5689000000000002</v>
      </c>
      <c r="I133" s="61">
        <f>6.5713 * CHOOSE(CONTROL!$C$22, $C$13, 100%, $E$13)</f>
        <v>6.5712999999999999</v>
      </c>
      <c r="J133" s="61">
        <f>3.4207 * CHOOSE(CONTROL!$C$22, $C$13, 100%, $E$13)</f>
        <v>3.4207000000000001</v>
      </c>
      <c r="K133" s="61">
        <f>3.423 * CHOOSE(CONTROL!$C$22, $C$13, 100%, $E$13)</f>
        <v>3.423</v>
      </c>
      <c r="L133" s="4"/>
      <c r="M133" s="4"/>
      <c r="N133" s="4"/>
    </row>
    <row r="134" spans="1:14" ht="15">
      <c r="A134" s="13">
        <v>45931</v>
      </c>
      <c r="B134" s="60">
        <f>3.2516 * CHOOSE(CONTROL!$C$22, $C$13, 100%, $E$13)</f>
        <v>3.2515999999999998</v>
      </c>
      <c r="C134" s="60">
        <f>3.2516 * CHOOSE(CONTROL!$C$22, $C$13, 100%, $E$13)</f>
        <v>3.2515999999999998</v>
      </c>
      <c r="D134" s="60">
        <f>3.2704 * CHOOSE(CONTROL!$C$22, $C$13, 100%, $E$13)</f>
        <v>3.2704</v>
      </c>
      <c r="E134" s="61">
        <f>3.4247 * CHOOSE(CONTROL!$C$22, $C$13, 100%, $E$13)</f>
        <v>3.4247000000000001</v>
      </c>
      <c r="F134" s="61">
        <f>3.4247 * CHOOSE(CONTROL!$C$22, $C$13, 100%, $E$13)</f>
        <v>3.4247000000000001</v>
      </c>
      <c r="G134" s="61">
        <f>3.4249 * CHOOSE(CONTROL!$C$22, $C$13, 100%, $E$13)</f>
        <v>3.4249000000000001</v>
      </c>
      <c r="H134" s="61">
        <f>6.5826* CHOOSE(CONTROL!$C$22, $C$13, 100%, $E$13)</f>
        <v>6.5826000000000002</v>
      </c>
      <c r="I134" s="61">
        <f>6.5828 * CHOOSE(CONTROL!$C$22, $C$13, 100%, $E$13)</f>
        <v>6.5827999999999998</v>
      </c>
      <c r="J134" s="61">
        <f>3.4247 * CHOOSE(CONTROL!$C$22, $C$13, 100%, $E$13)</f>
        <v>3.4247000000000001</v>
      </c>
      <c r="K134" s="61">
        <f>3.4249 * CHOOSE(CONTROL!$C$22, $C$13, 100%, $E$13)</f>
        <v>3.4249000000000001</v>
      </c>
      <c r="L134" s="4"/>
      <c r="M134" s="4"/>
      <c r="N134" s="4"/>
    </row>
    <row r="135" spans="1:14" ht="15">
      <c r="A135" s="13">
        <v>45962</v>
      </c>
      <c r="B135" s="60">
        <f>3.2547 * CHOOSE(CONTROL!$C$22, $C$13, 100%, $E$13)</f>
        <v>3.2547000000000001</v>
      </c>
      <c r="C135" s="60">
        <f>3.2547 * CHOOSE(CONTROL!$C$22, $C$13, 100%, $E$13)</f>
        <v>3.2547000000000001</v>
      </c>
      <c r="D135" s="60">
        <f>3.2735 * CHOOSE(CONTROL!$C$22, $C$13, 100%, $E$13)</f>
        <v>3.2734999999999999</v>
      </c>
      <c r="E135" s="61">
        <f>3.4355 * CHOOSE(CONTROL!$C$22, $C$13, 100%, $E$13)</f>
        <v>3.4355000000000002</v>
      </c>
      <c r="F135" s="61">
        <f>3.4355 * CHOOSE(CONTROL!$C$22, $C$13, 100%, $E$13)</f>
        <v>3.4355000000000002</v>
      </c>
      <c r="G135" s="61">
        <f>3.4357 * CHOOSE(CONTROL!$C$22, $C$13, 100%, $E$13)</f>
        <v>3.4357000000000002</v>
      </c>
      <c r="H135" s="61">
        <f>6.5963* CHOOSE(CONTROL!$C$22, $C$13, 100%, $E$13)</f>
        <v>6.5963000000000003</v>
      </c>
      <c r="I135" s="61">
        <f>6.5965 * CHOOSE(CONTROL!$C$22, $C$13, 100%, $E$13)</f>
        <v>6.5964999999999998</v>
      </c>
      <c r="J135" s="61">
        <f>3.4355 * CHOOSE(CONTROL!$C$22, $C$13, 100%, $E$13)</f>
        <v>3.4355000000000002</v>
      </c>
      <c r="K135" s="61">
        <f>3.4357 * CHOOSE(CONTROL!$C$22, $C$13, 100%, $E$13)</f>
        <v>3.4357000000000002</v>
      </c>
    </row>
    <row r="136" spans="1:14" ht="15">
      <c r="A136" s="13">
        <v>45992</v>
      </c>
      <c r="B136" s="60">
        <f>3.2547 * CHOOSE(CONTROL!$C$22, $C$13, 100%, $E$13)</f>
        <v>3.2547000000000001</v>
      </c>
      <c r="C136" s="60">
        <f>3.2547 * CHOOSE(CONTROL!$C$22, $C$13, 100%, $E$13)</f>
        <v>3.2547000000000001</v>
      </c>
      <c r="D136" s="60">
        <f>3.2735 * CHOOSE(CONTROL!$C$22, $C$13, 100%, $E$13)</f>
        <v>3.2734999999999999</v>
      </c>
      <c r="E136" s="61">
        <f>3.4138 * CHOOSE(CONTROL!$C$22, $C$13, 100%, $E$13)</f>
        <v>3.4138000000000002</v>
      </c>
      <c r="F136" s="61">
        <f>3.4138 * CHOOSE(CONTROL!$C$22, $C$13, 100%, $E$13)</f>
        <v>3.4138000000000002</v>
      </c>
      <c r="G136" s="61">
        <f>3.414 * CHOOSE(CONTROL!$C$22, $C$13, 100%, $E$13)</f>
        <v>3.4140000000000001</v>
      </c>
      <c r="H136" s="61">
        <f>6.6101* CHOOSE(CONTROL!$C$22, $C$13, 100%, $E$13)</f>
        <v>6.6101000000000001</v>
      </c>
      <c r="I136" s="61">
        <f>6.6103 * CHOOSE(CONTROL!$C$22, $C$13, 100%, $E$13)</f>
        <v>6.6102999999999996</v>
      </c>
      <c r="J136" s="61">
        <f>3.4138 * CHOOSE(CONTROL!$C$22, $C$13, 100%, $E$13)</f>
        <v>3.4138000000000002</v>
      </c>
      <c r="K136" s="61">
        <f>3.414 * CHOOSE(CONTROL!$C$22, $C$13, 100%, $E$13)</f>
        <v>3.4140000000000001</v>
      </c>
    </row>
    <row r="137" spans="1:14" ht="15">
      <c r="A137" s="13">
        <v>46023</v>
      </c>
      <c r="B137" s="60">
        <f>3.2844 * CHOOSE(CONTROL!$C$22, $C$13, 100%, $E$13)</f>
        <v>3.2844000000000002</v>
      </c>
      <c r="C137" s="60">
        <f>3.2844 * CHOOSE(CONTROL!$C$22, $C$13, 100%, $E$13)</f>
        <v>3.2844000000000002</v>
      </c>
      <c r="D137" s="60">
        <f>3.3032 * CHOOSE(CONTROL!$C$22, $C$13, 100%, $E$13)</f>
        <v>3.3031999999999999</v>
      </c>
      <c r="E137" s="61">
        <f>3.4905 * CHOOSE(CONTROL!$C$22, $C$13, 100%, $E$13)</f>
        <v>3.4904999999999999</v>
      </c>
      <c r="F137" s="61">
        <f>3.4905 * CHOOSE(CONTROL!$C$22, $C$13, 100%, $E$13)</f>
        <v>3.4904999999999999</v>
      </c>
      <c r="G137" s="61">
        <f>3.4907 * CHOOSE(CONTROL!$C$22, $C$13, 100%, $E$13)</f>
        <v>3.4906999999999999</v>
      </c>
      <c r="H137" s="61">
        <f>6.6238* CHOOSE(CONTROL!$C$22, $C$13, 100%, $E$13)</f>
        <v>6.6238000000000001</v>
      </c>
      <c r="I137" s="61">
        <f>6.624 * CHOOSE(CONTROL!$C$22, $C$13, 100%, $E$13)</f>
        <v>6.6239999999999997</v>
      </c>
      <c r="J137" s="61">
        <f>3.4905 * CHOOSE(CONTROL!$C$22, $C$13, 100%, $E$13)</f>
        <v>3.4904999999999999</v>
      </c>
      <c r="K137" s="61">
        <f>3.4907 * CHOOSE(CONTROL!$C$22, $C$13, 100%, $E$13)</f>
        <v>3.4906999999999999</v>
      </c>
    </row>
    <row r="138" spans="1:14" ht="15">
      <c r="A138" s="13">
        <v>46054</v>
      </c>
      <c r="B138" s="60">
        <f>3.2813 * CHOOSE(CONTROL!$C$22, $C$13, 100%, $E$13)</f>
        <v>3.2812999999999999</v>
      </c>
      <c r="C138" s="60">
        <f>3.2813 * CHOOSE(CONTROL!$C$22, $C$13, 100%, $E$13)</f>
        <v>3.2812999999999999</v>
      </c>
      <c r="D138" s="60">
        <f>3.3002 * CHOOSE(CONTROL!$C$22, $C$13, 100%, $E$13)</f>
        <v>3.3001999999999998</v>
      </c>
      <c r="E138" s="61">
        <f>3.4432 * CHOOSE(CONTROL!$C$22, $C$13, 100%, $E$13)</f>
        <v>3.4432</v>
      </c>
      <c r="F138" s="61">
        <f>3.4432 * CHOOSE(CONTROL!$C$22, $C$13, 100%, $E$13)</f>
        <v>3.4432</v>
      </c>
      <c r="G138" s="61">
        <f>3.4433 * CHOOSE(CONTROL!$C$22, $C$13, 100%, $E$13)</f>
        <v>3.4432999999999998</v>
      </c>
      <c r="H138" s="61">
        <f>6.6376* CHOOSE(CONTROL!$C$22, $C$13, 100%, $E$13)</f>
        <v>6.6375999999999999</v>
      </c>
      <c r="I138" s="61">
        <f>6.6378 * CHOOSE(CONTROL!$C$22, $C$13, 100%, $E$13)</f>
        <v>6.6378000000000004</v>
      </c>
      <c r="J138" s="61">
        <f>3.4432 * CHOOSE(CONTROL!$C$22, $C$13, 100%, $E$13)</f>
        <v>3.4432</v>
      </c>
      <c r="K138" s="61">
        <f>3.4433 * CHOOSE(CONTROL!$C$22, $C$13, 100%, $E$13)</f>
        <v>3.4432999999999998</v>
      </c>
    </row>
    <row r="139" spans="1:14" ht="15">
      <c r="A139" s="13">
        <v>46082</v>
      </c>
      <c r="B139" s="60">
        <f>3.2783 * CHOOSE(CONTROL!$C$22, $C$13, 100%, $E$13)</f>
        <v>3.2783000000000002</v>
      </c>
      <c r="C139" s="60">
        <f>3.2783 * CHOOSE(CONTROL!$C$22, $C$13, 100%, $E$13)</f>
        <v>3.2783000000000002</v>
      </c>
      <c r="D139" s="60">
        <f>3.2971 * CHOOSE(CONTROL!$C$22, $C$13, 100%, $E$13)</f>
        <v>3.2970999999999999</v>
      </c>
      <c r="E139" s="61">
        <f>3.4767 * CHOOSE(CONTROL!$C$22, $C$13, 100%, $E$13)</f>
        <v>3.4767000000000001</v>
      </c>
      <c r="F139" s="61">
        <f>3.4767 * CHOOSE(CONTROL!$C$22, $C$13, 100%, $E$13)</f>
        <v>3.4767000000000001</v>
      </c>
      <c r="G139" s="61">
        <f>3.4769 * CHOOSE(CONTROL!$C$22, $C$13, 100%, $E$13)</f>
        <v>3.4769000000000001</v>
      </c>
      <c r="H139" s="61">
        <f>6.6515* CHOOSE(CONTROL!$C$22, $C$13, 100%, $E$13)</f>
        <v>6.6515000000000004</v>
      </c>
      <c r="I139" s="61">
        <f>6.6517 * CHOOSE(CONTROL!$C$22, $C$13, 100%, $E$13)</f>
        <v>6.6516999999999999</v>
      </c>
      <c r="J139" s="61">
        <f>3.4767 * CHOOSE(CONTROL!$C$22, $C$13, 100%, $E$13)</f>
        <v>3.4767000000000001</v>
      </c>
      <c r="K139" s="61">
        <f>3.4769 * CHOOSE(CONTROL!$C$22, $C$13, 100%, $E$13)</f>
        <v>3.4769000000000001</v>
      </c>
    </row>
    <row r="140" spans="1:14" ht="15">
      <c r="A140" s="13">
        <v>46113</v>
      </c>
      <c r="B140" s="60">
        <f>3.2753 * CHOOSE(CONTROL!$C$22, $C$13, 100%, $E$13)</f>
        <v>3.2753000000000001</v>
      </c>
      <c r="C140" s="60">
        <f>3.2753 * CHOOSE(CONTROL!$C$22, $C$13, 100%, $E$13)</f>
        <v>3.2753000000000001</v>
      </c>
      <c r="D140" s="60">
        <f>3.2941 * CHOOSE(CONTROL!$C$22, $C$13, 100%, $E$13)</f>
        <v>3.2940999999999998</v>
      </c>
      <c r="E140" s="61">
        <f>3.5108 * CHOOSE(CONTROL!$C$22, $C$13, 100%, $E$13)</f>
        <v>3.5108000000000001</v>
      </c>
      <c r="F140" s="61">
        <f>3.5108 * CHOOSE(CONTROL!$C$22, $C$13, 100%, $E$13)</f>
        <v>3.5108000000000001</v>
      </c>
      <c r="G140" s="61">
        <f>3.511 * CHOOSE(CONTROL!$C$22, $C$13, 100%, $E$13)</f>
        <v>3.5110000000000001</v>
      </c>
      <c r="H140" s="61">
        <f>6.6653* CHOOSE(CONTROL!$C$22, $C$13, 100%, $E$13)</f>
        <v>6.6653000000000002</v>
      </c>
      <c r="I140" s="61">
        <f>6.6655 * CHOOSE(CONTROL!$C$22, $C$13, 100%, $E$13)</f>
        <v>6.6654999999999998</v>
      </c>
      <c r="J140" s="61">
        <f>3.5108 * CHOOSE(CONTROL!$C$22, $C$13, 100%, $E$13)</f>
        <v>3.5108000000000001</v>
      </c>
      <c r="K140" s="61">
        <f>3.511 * CHOOSE(CONTROL!$C$22, $C$13, 100%, $E$13)</f>
        <v>3.5110000000000001</v>
      </c>
    </row>
    <row r="141" spans="1:14" ht="15">
      <c r="A141" s="13">
        <v>46143</v>
      </c>
      <c r="B141" s="60">
        <f>3.2753 * CHOOSE(CONTROL!$C$22, $C$13, 100%, $E$13)</f>
        <v>3.2753000000000001</v>
      </c>
      <c r="C141" s="60">
        <f>3.2753 * CHOOSE(CONTROL!$C$22, $C$13, 100%, $E$13)</f>
        <v>3.2753000000000001</v>
      </c>
      <c r="D141" s="60">
        <f>3.3129 * CHOOSE(CONTROL!$C$22, $C$13, 100%, $E$13)</f>
        <v>3.3129</v>
      </c>
      <c r="E141" s="61">
        <f>3.5252 * CHOOSE(CONTROL!$C$22, $C$13, 100%, $E$13)</f>
        <v>3.5251999999999999</v>
      </c>
      <c r="F141" s="61">
        <f>3.5252 * CHOOSE(CONTROL!$C$22, $C$13, 100%, $E$13)</f>
        <v>3.5251999999999999</v>
      </c>
      <c r="G141" s="61">
        <f>3.5275 * CHOOSE(CONTROL!$C$22, $C$13, 100%, $E$13)</f>
        <v>3.5274999999999999</v>
      </c>
      <c r="H141" s="61">
        <f>6.6792* CHOOSE(CONTROL!$C$22, $C$13, 100%, $E$13)</f>
        <v>6.6791999999999998</v>
      </c>
      <c r="I141" s="61">
        <f>6.6815 * CHOOSE(CONTROL!$C$22, $C$13, 100%, $E$13)</f>
        <v>6.6814999999999998</v>
      </c>
      <c r="J141" s="61">
        <f>3.5252 * CHOOSE(CONTROL!$C$22, $C$13, 100%, $E$13)</f>
        <v>3.5251999999999999</v>
      </c>
      <c r="K141" s="61">
        <f>3.5275 * CHOOSE(CONTROL!$C$22, $C$13, 100%, $E$13)</f>
        <v>3.5274999999999999</v>
      </c>
    </row>
    <row r="142" spans="1:14" ht="15">
      <c r="A142" s="13">
        <v>46174</v>
      </c>
      <c r="B142" s="60">
        <f>3.2814 * CHOOSE(CONTROL!$C$22, $C$13, 100%, $E$13)</f>
        <v>3.2814000000000001</v>
      </c>
      <c r="C142" s="60">
        <f>3.2814 * CHOOSE(CONTROL!$C$22, $C$13, 100%, $E$13)</f>
        <v>3.2814000000000001</v>
      </c>
      <c r="D142" s="60">
        <f>3.319 * CHOOSE(CONTROL!$C$22, $C$13, 100%, $E$13)</f>
        <v>3.319</v>
      </c>
      <c r="E142" s="61">
        <f>3.515 * CHOOSE(CONTROL!$C$22, $C$13, 100%, $E$13)</f>
        <v>3.5150000000000001</v>
      </c>
      <c r="F142" s="61">
        <f>3.515 * CHOOSE(CONTROL!$C$22, $C$13, 100%, $E$13)</f>
        <v>3.5150000000000001</v>
      </c>
      <c r="G142" s="61">
        <f>3.5173 * CHOOSE(CONTROL!$C$22, $C$13, 100%, $E$13)</f>
        <v>3.5173000000000001</v>
      </c>
      <c r="H142" s="61">
        <f>6.6931* CHOOSE(CONTROL!$C$22, $C$13, 100%, $E$13)</f>
        <v>6.6931000000000003</v>
      </c>
      <c r="I142" s="61">
        <f>6.6954 * CHOOSE(CONTROL!$C$22, $C$13, 100%, $E$13)</f>
        <v>6.6954000000000002</v>
      </c>
      <c r="J142" s="61">
        <f>3.515 * CHOOSE(CONTROL!$C$22, $C$13, 100%, $E$13)</f>
        <v>3.5150000000000001</v>
      </c>
      <c r="K142" s="61">
        <f>3.5173 * CHOOSE(CONTROL!$C$22, $C$13, 100%, $E$13)</f>
        <v>3.5173000000000001</v>
      </c>
    </row>
    <row r="143" spans="1:14" ht="15">
      <c r="A143" s="13">
        <v>46204</v>
      </c>
      <c r="B143" s="60">
        <f>3.3377 * CHOOSE(CONTROL!$C$22, $C$13, 100%, $E$13)</f>
        <v>3.3376999999999999</v>
      </c>
      <c r="C143" s="60">
        <f>3.3377 * CHOOSE(CONTROL!$C$22, $C$13, 100%, $E$13)</f>
        <v>3.3376999999999999</v>
      </c>
      <c r="D143" s="60">
        <f>3.3753 * CHOOSE(CONTROL!$C$22, $C$13, 100%, $E$13)</f>
        <v>3.3753000000000002</v>
      </c>
      <c r="E143" s="61">
        <f>3.5814 * CHOOSE(CONTROL!$C$22, $C$13, 100%, $E$13)</f>
        <v>3.5813999999999999</v>
      </c>
      <c r="F143" s="61">
        <f>3.5814 * CHOOSE(CONTROL!$C$22, $C$13, 100%, $E$13)</f>
        <v>3.5813999999999999</v>
      </c>
      <c r="G143" s="61">
        <f>3.5837 * CHOOSE(CONTROL!$C$22, $C$13, 100%, $E$13)</f>
        <v>3.5836999999999999</v>
      </c>
      <c r="H143" s="61">
        <f>6.7071* CHOOSE(CONTROL!$C$22, $C$13, 100%, $E$13)</f>
        <v>6.7070999999999996</v>
      </c>
      <c r="I143" s="61">
        <f>6.7094 * CHOOSE(CONTROL!$C$22, $C$13, 100%, $E$13)</f>
        <v>6.7093999999999996</v>
      </c>
      <c r="J143" s="61">
        <f>3.5814 * CHOOSE(CONTROL!$C$22, $C$13, 100%, $E$13)</f>
        <v>3.5813999999999999</v>
      </c>
      <c r="K143" s="61">
        <f>3.5837 * CHOOSE(CONTROL!$C$22, $C$13, 100%, $E$13)</f>
        <v>3.5836999999999999</v>
      </c>
    </row>
    <row r="144" spans="1:14" ht="15">
      <c r="A144" s="13">
        <v>46235</v>
      </c>
      <c r="B144" s="60">
        <f>3.3444 * CHOOSE(CONTROL!$C$22, $C$13, 100%, $E$13)</f>
        <v>3.3443999999999998</v>
      </c>
      <c r="C144" s="60">
        <f>3.3444 * CHOOSE(CONTROL!$C$22, $C$13, 100%, $E$13)</f>
        <v>3.3443999999999998</v>
      </c>
      <c r="D144" s="60">
        <f>3.382 * CHOOSE(CONTROL!$C$22, $C$13, 100%, $E$13)</f>
        <v>3.3820000000000001</v>
      </c>
      <c r="E144" s="61">
        <f>3.543 * CHOOSE(CONTROL!$C$22, $C$13, 100%, $E$13)</f>
        <v>3.5430000000000001</v>
      </c>
      <c r="F144" s="61">
        <f>3.543 * CHOOSE(CONTROL!$C$22, $C$13, 100%, $E$13)</f>
        <v>3.5430000000000001</v>
      </c>
      <c r="G144" s="61">
        <f>3.5453 * CHOOSE(CONTROL!$C$22, $C$13, 100%, $E$13)</f>
        <v>3.5453000000000001</v>
      </c>
      <c r="H144" s="61">
        <f>6.7211* CHOOSE(CONTROL!$C$22, $C$13, 100%, $E$13)</f>
        <v>6.7210999999999999</v>
      </c>
      <c r="I144" s="61">
        <f>6.7234 * CHOOSE(CONTROL!$C$22, $C$13, 100%, $E$13)</f>
        <v>6.7233999999999998</v>
      </c>
      <c r="J144" s="61">
        <f>3.543 * CHOOSE(CONTROL!$C$22, $C$13, 100%, $E$13)</f>
        <v>3.5430000000000001</v>
      </c>
      <c r="K144" s="61">
        <f>3.5453 * CHOOSE(CONTROL!$C$22, $C$13, 100%, $E$13)</f>
        <v>3.5453000000000001</v>
      </c>
    </row>
    <row r="145" spans="1:11" ht="15">
      <c r="A145" s="13">
        <v>46266</v>
      </c>
      <c r="B145" s="60">
        <f>3.3413 * CHOOSE(CONTROL!$C$22, $C$13, 100%, $E$13)</f>
        <v>3.3412999999999999</v>
      </c>
      <c r="C145" s="60">
        <f>3.3413 * CHOOSE(CONTROL!$C$22, $C$13, 100%, $E$13)</f>
        <v>3.3412999999999999</v>
      </c>
      <c r="D145" s="60">
        <f>3.379 * CHOOSE(CONTROL!$C$22, $C$13, 100%, $E$13)</f>
        <v>3.379</v>
      </c>
      <c r="E145" s="61">
        <f>3.5361 * CHOOSE(CONTROL!$C$22, $C$13, 100%, $E$13)</f>
        <v>3.5360999999999998</v>
      </c>
      <c r="F145" s="61">
        <f>3.5361 * CHOOSE(CONTROL!$C$22, $C$13, 100%, $E$13)</f>
        <v>3.5360999999999998</v>
      </c>
      <c r="G145" s="61">
        <f>3.5384 * CHOOSE(CONTROL!$C$22, $C$13, 100%, $E$13)</f>
        <v>3.5384000000000002</v>
      </c>
      <c r="H145" s="61">
        <f>6.7351* CHOOSE(CONTROL!$C$22, $C$13, 100%, $E$13)</f>
        <v>6.7351000000000001</v>
      </c>
      <c r="I145" s="61">
        <f>6.7374 * CHOOSE(CONTROL!$C$22, $C$13, 100%, $E$13)</f>
        <v>6.7374000000000001</v>
      </c>
      <c r="J145" s="61">
        <f>3.5361 * CHOOSE(CONTROL!$C$22, $C$13, 100%, $E$13)</f>
        <v>3.5360999999999998</v>
      </c>
      <c r="K145" s="61">
        <f>3.5384 * CHOOSE(CONTROL!$C$22, $C$13, 100%, $E$13)</f>
        <v>3.5384000000000002</v>
      </c>
    </row>
    <row r="146" spans="1:11" ht="15">
      <c r="A146" s="13">
        <v>46296</v>
      </c>
      <c r="B146" s="60">
        <f>3.3341 * CHOOSE(CONTROL!$C$22, $C$13, 100%, $E$13)</f>
        <v>3.3340999999999998</v>
      </c>
      <c r="C146" s="60">
        <f>3.3341 * CHOOSE(CONTROL!$C$22, $C$13, 100%, $E$13)</f>
        <v>3.3340999999999998</v>
      </c>
      <c r="D146" s="60">
        <f>3.3529 * CHOOSE(CONTROL!$C$22, $C$13, 100%, $E$13)</f>
        <v>3.3529</v>
      </c>
      <c r="E146" s="61">
        <f>3.5418 * CHOOSE(CONTROL!$C$22, $C$13, 100%, $E$13)</f>
        <v>3.5417999999999998</v>
      </c>
      <c r="F146" s="61">
        <f>3.5418 * CHOOSE(CONTROL!$C$22, $C$13, 100%, $E$13)</f>
        <v>3.5417999999999998</v>
      </c>
      <c r="G146" s="61">
        <f>3.542 * CHOOSE(CONTROL!$C$22, $C$13, 100%, $E$13)</f>
        <v>3.5419999999999998</v>
      </c>
      <c r="H146" s="61">
        <f>6.7491* CHOOSE(CONTROL!$C$22, $C$13, 100%, $E$13)</f>
        <v>6.7491000000000003</v>
      </c>
      <c r="I146" s="61">
        <f>6.7493 * CHOOSE(CONTROL!$C$22, $C$13, 100%, $E$13)</f>
        <v>6.7492999999999999</v>
      </c>
      <c r="J146" s="61">
        <f>3.5418 * CHOOSE(CONTROL!$C$22, $C$13, 100%, $E$13)</f>
        <v>3.5417999999999998</v>
      </c>
      <c r="K146" s="61">
        <f>3.542 * CHOOSE(CONTROL!$C$22, $C$13, 100%, $E$13)</f>
        <v>3.5419999999999998</v>
      </c>
    </row>
    <row r="147" spans="1:11" ht="15">
      <c r="A147" s="13">
        <v>46327</v>
      </c>
      <c r="B147" s="60">
        <f>3.3371 * CHOOSE(CONTROL!$C$22, $C$13, 100%, $E$13)</f>
        <v>3.3371</v>
      </c>
      <c r="C147" s="60">
        <f>3.3371 * CHOOSE(CONTROL!$C$22, $C$13, 100%, $E$13)</f>
        <v>3.3371</v>
      </c>
      <c r="D147" s="60">
        <f>3.3559 * CHOOSE(CONTROL!$C$22, $C$13, 100%, $E$13)</f>
        <v>3.3559000000000001</v>
      </c>
      <c r="E147" s="61">
        <f>3.5535 * CHOOSE(CONTROL!$C$22, $C$13, 100%, $E$13)</f>
        <v>3.5535000000000001</v>
      </c>
      <c r="F147" s="61">
        <f>3.5535 * CHOOSE(CONTROL!$C$22, $C$13, 100%, $E$13)</f>
        <v>3.5535000000000001</v>
      </c>
      <c r="G147" s="61">
        <f>3.5537 * CHOOSE(CONTROL!$C$22, $C$13, 100%, $E$13)</f>
        <v>3.5537000000000001</v>
      </c>
      <c r="H147" s="61">
        <f>6.7631* CHOOSE(CONTROL!$C$22, $C$13, 100%, $E$13)</f>
        <v>6.7630999999999997</v>
      </c>
      <c r="I147" s="61">
        <f>6.7633 * CHOOSE(CONTROL!$C$22, $C$13, 100%, $E$13)</f>
        <v>6.7633000000000001</v>
      </c>
      <c r="J147" s="61">
        <f>3.5535 * CHOOSE(CONTROL!$C$22, $C$13, 100%, $E$13)</f>
        <v>3.5535000000000001</v>
      </c>
      <c r="K147" s="61">
        <f>3.5537 * CHOOSE(CONTROL!$C$22, $C$13, 100%, $E$13)</f>
        <v>3.5537000000000001</v>
      </c>
    </row>
    <row r="148" spans="1:11" ht="15">
      <c r="A148" s="13">
        <v>46357</v>
      </c>
      <c r="B148" s="60">
        <f>3.3371 * CHOOSE(CONTROL!$C$22, $C$13, 100%, $E$13)</f>
        <v>3.3371</v>
      </c>
      <c r="C148" s="60">
        <f>3.3371 * CHOOSE(CONTROL!$C$22, $C$13, 100%, $E$13)</f>
        <v>3.3371</v>
      </c>
      <c r="D148" s="60">
        <f>3.3559 * CHOOSE(CONTROL!$C$22, $C$13, 100%, $E$13)</f>
        <v>3.3559000000000001</v>
      </c>
      <c r="E148" s="61">
        <f>3.5296 * CHOOSE(CONTROL!$C$22, $C$13, 100%, $E$13)</f>
        <v>3.5295999999999998</v>
      </c>
      <c r="F148" s="61">
        <f>3.5296 * CHOOSE(CONTROL!$C$22, $C$13, 100%, $E$13)</f>
        <v>3.5295999999999998</v>
      </c>
      <c r="G148" s="61">
        <f>3.5297 * CHOOSE(CONTROL!$C$22, $C$13, 100%, $E$13)</f>
        <v>3.5297000000000001</v>
      </c>
      <c r="H148" s="61">
        <f>6.7772* CHOOSE(CONTROL!$C$22, $C$13, 100%, $E$13)</f>
        <v>6.7771999999999997</v>
      </c>
      <c r="I148" s="61">
        <f>6.7774 * CHOOSE(CONTROL!$C$22, $C$13, 100%, $E$13)</f>
        <v>6.7774000000000001</v>
      </c>
      <c r="J148" s="61">
        <f>3.5296 * CHOOSE(CONTROL!$C$22, $C$13, 100%, $E$13)</f>
        <v>3.5295999999999998</v>
      </c>
      <c r="K148" s="61">
        <f>3.5297 * CHOOSE(CONTROL!$C$22, $C$13, 100%, $E$13)</f>
        <v>3.5297000000000001</v>
      </c>
    </row>
    <row r="149" spans="1:11" ht="15">
      <c r="A149" s="13">
        <v>46388</v>
      </c>
      <c r="B149" s="60">
        <f>3.365 * CHOOSE(CONTROL!$C$22, $C$13, 100%, $E$13)</f>
        <v>3.3650000000000002</v>
      </c>
      <c r="C149" s="60">
        <f>3.365 * CHOOSE(CONTROL!$C$22, $C$13, 100%, $E$13)</f>
        <v>3.3650000000000002</v>
      </c>
      <c r="D149" s="60">
        <f>3.3838 * CHOOSE(CONTROL!$C$22, $C$13, 100%, $E$13)</f>
        <v>3.3837999999999999</v>
      </c>
      <c r="E149" s="61">
        <f>3.5929 * CHOOSE(CONTROL!$C$22, $C$13, 100%, $E$13)</f>
        <v>3.5929000000000002</v>
      </c>
      <c r="F149" s="61">
        <f>3.5929 * CHOOSE(CONTROL!$C$22, $C$13, 100%, $E$13)</f>
        <v>3.5929000000000002</v>
      </c>
      <c r="G149" s="61">
        <f>3.5931 * CHOOSE(CONTROL!$C$22, $C$13, 100%, $E$13)</f>
        <v>3.5931000000000002</v>
      </c>
      <c r="H149" s="61">
        <f>6.7914* CHOOSE(CONTROL!$C$22, $C$13, 100%, $E$13)</f>
        <v>6.7914000000000003</v>
      </c>
      <c r="I149" s="61">
        <f>6.7915 * CHOOSE(CONTROL!$C$22, $C$13, 100%, $E$13)</f>
        <v>6.7915000000000001</v>
      </c>
      <c r="J149" s="61">
        <f>3.5929 * CHOOSE(CONTROL!$C$22, $C$13, 100%, $E$13)</f>
        <v>3.5929000000000002</v>
      </c>
      <c r="K149" s="61">
        <f>3.5931 * CHOOSE(CONTROL!$C$22, $C$13, 100%, $E$13)</f>
        <v>3.5931000000000002</v>
      </c>
    </row>
    <row r="150" spans="1:11" ht="15">
      <c r="A150" s="13">
        <v>46419</v>
      </c>
      <c r="B150" s="60">
        <f>3.362 * CHOOSE(CONTROL!$C$22, $C$13, 100%, $E$13)</f>
        <v>3.3620000000000001</v>
      </c>
      <c r="C150" s="60">
        <f>3.362 * CHOOSE(CONTROL!$C$22, $C$13, 100%, $E$13)</f>
        <v>3.3620000000000001</v>
      </c>
      <c r="D150" s="60">
        <f>3.3808 * CHOOSE(CONTROL!$C$22, $C$13, 100%, $E$13)</f>
        <v>3.3807999999999998</v>
      </c>
      <c r="E150" s="61">
        <f>3.5426 * CHOOSE(CONTROL!$C$22, $C$13, 100%, $E$13)</f>
        <v>3.5426000000000002</v>
      </c>
      <c r="F150" s="61">
        <f>3.5426 * CHOOSE(CONTROL!$C$22, $C$13, 100%, $E$13)</f>
        <v>3.5426000000000002</v>
      </c>
      <c r="G150" s="61">
        <f>3.5427 * CHOOSE(CONTROL!$C$22, $C$13, 100%, $E$13)</f>
        <v>3.5427</v>
      </c>
      <c r="H150" s="61">
        <f>6.8055* CHOOSE(CONTROL!$C$22, $C$13, 100%, $E$13)</f>
        <v>6.8055000000000003</v>
      </c>
      <c r="I150" s="61">
        <f>6.8057 * CHOOSE(CONTROL!$C$22, $C$13, 100%, $E$13)</f>
        <v>6.8056999999999999</v>
      </c>
      <c r="J150" s="61">
        <f>3.5426 * CHOOSE(CONTROL!$C$22, $C$13, 100%, $E$13)</f>
        <v>3.5426000000000002</v>
      </c>
      <c r="K150" s="61">
        <f>3.5427 * CHOOSE(CONTROL!$C$22, $C$13, 100%, $E$13)</f>
        <v>3.5427</v>
      </c>
    </row>
    <row r="151" spans="1:11" ht="15">
      <c r="A151" s="13">
        <v>46447</v>
      </c>
      <c r="B151" s="60">
        <f>3.359 * CHOOSE(CONTROL!$C$22, $C$13, 100%, $E$13)</f>
        <v>3.359</v>
      </c>
      <c r="C151" s="60">
        <f>3.359 * CHOOSE(CONTROL!$C$22, $C$13, 100%, $E$13)</f>
        <v>3.359</v>
      </c>
      <c r="D151" s="60">
        <f>3.3778 * CHOOSE(CONTROL!$C$22, $C$13, 100%, $E$13)</f>
        <v>3.3778000000000001</v>
      </c>
      <c r="E151" s="61">
        <f>3.5785 * CHOOSE(CONTROL!$C$22, $C$13, 100%, $E$13)</f>
        <v>3.5785</v>
      </c>
      <c r="F151" s="61">
        <f>3.5785 * CHOOSE(CONTROL!$C$22, $C$13, 100%, $E$13)</f>
        <v>3.5785</v>
      </c>
      <c r="G151" s="61">
        <f>3.5787 * CHOOSE(CONTROL!$C$22, $C$13, 100%, $E$13)</f>
        <v>3.5787</v>
      </c>
      <c r="H151" s="61">
        <f>6.8197* CHOOSE(CONTROL!$C$22, $C$13, 100%, $E$13)</f>
        <v>6.8197000000000001</v>
      </c>
      <c r="I151" s="61">
        <f>6.8199 * CHOOSE(CONTROL!$C$22, $C$13, 100%, $E$13)</f>
        <v>6.8198999999999996</v>
      </c>
      <c r="J151" s="61">
        <f>3.5785 * CHOOSE(CONTROL!$C$22, $C$13, 100%, $E$13)</f>
        <v>3.5785</v>
      </c>
      <c r="K151" s="61">
        <f>3.5787 * CHOOSE(CONTROL!$C$22, $C$13, 100%, $E$13)</f>
        <v>3.5787</v>
      </c>
    </row>
    <row r="152" spans="1:11" ht="15">
      <c r="A152" s="13">
        <v>46478</v>
      </c>
      <c r="B152" s="60">
        <f>3.356 * CHOOSE(CONTROL!$C$22, $C$13, 100%, $E$13)</f>
        <v>3.3559999999999999</v>
      </c>
      <c r="C152" s="60">
        <f>3.356 * CHOOSE(CONTROL!$C$22, $C$13, 100%, $E$13)</f>
        <v>3.3559999999999999</v>
      </c>
      <c r="D152" s="60">
        <f>3.3748 * CHOOSE(CONTROL!$C$22, $C$13, 100%, $E$13)</f>
        <v>3.3748</v>
      </c>
      <c r="E152" s="61">
        <f>3.6151 * CHOOSE(CONTROL!$C$22, $C$13, 100%, $E$13)</f>
        <v>3.6151</v>
      </c>
      <c r="F152" s="61">
        <f>3.6151 * CHOOSE(CONTROL!$C$22, $C$13, 100%, $E$13)</f>
        <v>3.6151</v>
      </c>
      <c r="G152" s="61">
        <f>3.6153 * CHOOSE(CONTROL!$C$22, $C$13, 100%, $E$13)</f>
        <v>3.6153</v>
      </c>
      <c r="H152" s="61">
        <f>6.8339* CHOOSE(CONTROL!$C$22, $C$13, 100%, $E$13)</f>
        <v>6.8338999999999999</v>
      </c>
      <c r="I152" s="61">
        <f>6.8341 * CHOOSE(CONTROL!$C$22, $C$13, 100%, $E$13)</f>
        <v>6.8341000000000003</v>
      </c>
      <c r="J152" s="61">
        <f>3.6151 * CHOOSE(CONTROL!$C$22, $C$13, 100%, $E$13)</f>
        <v>3.6151</v>
      </c>
      <c r="K152" s="61">
        <f>3.6153 * CHOOSE(CONTROL!$C$22, $C$13, 100%, $E$13)</f>
        <v>3.6153</v>
      </c>
    </row>
    <row r="153" spans="1:11" ht="15">
      <c r="A153" s="13">
        <v>46508</v>
      </c>
      <c r="B153" s="60">
        <f>3.356 * CHOOSE(CONTROL!$C$22, $C$13, 100%, $E$13)</f>
        <v>3.3559999999999999</v>
      </c>
      <c r="C153" s="60">
        <f>3.356 * CHOOSE(CONTROL!$C$22, $C$13, 100%, $E$13)</f>
        <v>3.3559999999999999</v>
      </c>
      <c r="D153" s="60">
        <f>3.3936 * CHOOSE(CONTROL!$C$22, $C$13, 100%, $E$13)</f>
        <v>3.3936000000000002</v>
      </c>
      <c r="E153" s="61">
        <f>3.6304 * CHOOSE(CONTROL!$C$22, $C$13, 100%, $E$13)</f>
        <v>3.6303999999999998</v>
      </c>
      <c r="F153" s="61">
        <f>3.6304 * CHOOSE(CONTROL!$C$22, $C$13, 100%, $E$13)</f>
        <v>3.6303999999999998</v>
      </c>
      <c r="G153" s="61">
        <f>3.6327 * CHOOSE(CONTROL!$C$22, $C$13, 100%, $E$13)</f>
        <v>3.6326999999999998</v>
      </c>
      <c r="H153" s="61">
        <f>6.8481* CHOOSE(CONTROL!$C$22, $C$13, 100%, $E$13)</f>
        <v>6.8480999999999996</v>
      </c>
      <c r="I153" s="61">
        <f>6.8504 * CHOOSE(CONTROL!$C$22, $C$13, 100%, $E$13)</f>
        <v>6.8503999999999996</v>
      </c>
      <c r="J153" s="61">
        <f>3.6304 * CHOOSE(CONTROL!$C$22, $C$13, 100%, $E$13)</f>
        <v>3.6303999999999998</v>
      </c>
      <c r="K153" s="61">
        <f>3.6327 * CHOOSE(CONTROL!$C$22, $C$13, 100%, $E$13)</f>
        <v>3.6326999999999998</v>
      </c>
    </row>
    <row r="154" spans="1:11" ht="15">
      <c r="A154" s="13">
        <v>46539</v>
      </c>
      <c r="B154" s="60">
        <f>3.3621 * CHOOSE(CONTROL!$C$22, $C$13, 100%, $E$13)</f>
        <v>3.3620999999999999</v>
      </c>
      <c r="C154" s="60">
        <f>3.3621 * CHOOSE(CONTROL!$C$22, $C$13, 100%, $E$13)</f>
        <v>3.3620999999999999</v>
      </c>
      <c r="D154" s="60">
        <f>3.3997 * CHOOSE(CONTROL!$C$22, $C$13, 100%, $E$13)</f>
        <v>3.3997000000000002</v>
      </c>
      <c r="E154" s="61">
        <f>3.6193 * CHOOSE(CONTROL!$C$22, $C$13, 100%, $E$13)</f>
        <v>3.6193</v>
      </c>
      <c r="F154" s="61">
        <f>3.6193 * CHOOSE(CONTROL!$C$22, $C$13, 100%, $E$13)</f>
        <v>3.6193</v>
      </c>
      <c r="G154" s="61">
        <f>3.6216 * CHOOSE(CONTROL!$C$22, $C$13, 100%, $E$13)</f>
        <v>3.6215999999999999</v>
      </c>
      <c r="H154" s="61">
        <f>6.8624* CHOOSE(CONTROL!$C$22, $C$13, 100%, $E$13)</f>
        <v>6.8624000000000001</v>
      </c>
      <c r="I154" s="61">
        <f>6.8647 * CHOOSE(CONTROL!$C$22, $C$13, 100%, $E$13)</f>
        <v>6.8647</v>
      </c>
      <c r="J154" s="61">
        <f>3.6193 * CHOOSE(CONTROL!$C$22, $C$13, 100%, $E$13)</f>
        <v>3.6193</v>
      </c>
      <c r="K154" s="61">
        <f>3.6216 * CHOOSE(CONTROL!$C$22, $C$13, 100%, $E$13)</f>
        <v>3.6215999999999999</v>
      </c>
    </row>
    <row r="155" spans="1:11" ht="15">
      <c r="A155" s="13">
        <v>46569</v>
      </c>
      <c r="B155" s="60">
        <f>3.4138 * CHOOSE(CONTROL!$C$22, $C$13, 100%, $E$13)</f>
        <v>3.4138000000000002</v>
      </c>
      <c r="C155" s="60">
        <f>3.4138 * CHOOSE(CONTROL!$C$22, $C$13, 100%, $E$13)</f>
        <v>3.4138000000000002</v>
      </c>
      <c r="D155" s="60">
        <f>3.4514 * CHOOSE(CONTROL!$C$22, $C$13, 100%, $E$13)</f>
        <v>3.4514</v>
      </c>
      <c r="E155" s="61">
        <f>3.6808 * CHOOSE(CONTROL!$C$22, $C$13, 100%, $E$13)</f>
        <v>3.6808000000000001</v>
      </c>
      <c r="F155" s="61">
        <f>3.6808 * CHOOSE(CONTROL!$C$22, $C$13, 100%, $E$13)</f>
        <v>3.6808000000000001</v>
      </c>
      <c r="G155" s="61">
        <f>3.6831 * CHOOSE(CONTROL!$C$22, $C$13, 100%, $E$13)</f>
        <v>3.6831</v>
      </c>
      <c r="H155" s="61">
        <f>6.8767* CHOOSE(CONTROL!$C$22, $C$13, 100%, $E$13)</f>
        <v>6.8766999999999996</v>
      </c>
      <c r="I155" s="61">
        <f>6.879 * CHOOSE(CONTROL!$C$22, $C$13, 100%, $E$13)</f>
        <v>6.8789999999999996</v>
      </c>
      <c r="J155" s="61">
        <f>3.6808 * CHOOSE(CONTROL!$C$22, $C$13, 100%, $E$13)</f>
        <v>3.6808000000000001</v>
      </c>
      <c r="K155" s="61">
        <f>3.6831 * CHOOSE(CONTROL!$C$22, $C$13, 100%, $E$13)</f>
        <v>3.6831</v>
      </c>
    </row>
    <row r="156" spans="1:11" ht="15">
      <c r="A156" s="13">
        <v>46600</v>
      </c>
      <c r="B156" s="60">
        <f>3.4205 * CHOOSE(CONTROL!$C$22, $C$13, 100%, $E$13)</f>
        <v>3.4205000000000001</v>
      </c>
      <c r="C156" s="60">
        <f>3.4205 * CHOOSE(CONTROL!$C$22, $C$13, 100%, $E$13)</f>
        <v>3.4205000000000001</v>
      </c>
      <c r="D156" s="60">
        <f>3.4581 * CHOOSE(CONTROL!$C$22, $C$13, 100%, $E$13)</f>
        <v>3.4581</v>
      </c>
      <c r="E156" s="61">
        <f>3.6395 * CHOOSE(CONTROL!$C$22, $C$13, 100%, $E$13)</f>
        <v>3.6395</v>
      </c>
      <c r="F156" s="61">
        <f>3.6395 * CHOOSE(CONTROL!$C$22, $C$13, 100%, $E$13)</f>
        <v>3.6395</v>
      </c>
      <c r="G156" s="61">
        <f>3.6418 * CHOOSE(CONTROL!$C$22, $C$13, 100%, $E$13)</f>
        <v>3.6417999999999999</v>
      </c>
      <c r="H156" s="61">
        <f>6.891* CHOOSE(CONTROL!$C$22, $C$13, 100%, $E$13)</f>
        <v>6.891</v>
      </c>
      <c r="I156" s="61">
        <f>6.8933 * CHOOSE(CONTROL!$C$22, $C$13, 100%, $E$13)</f>
        <v>6.8933</v>
      </c>
      <c r="J156" s="61">
        <f>3.6395 * CHOOSE(CONTROL!$C$22, $C$13, 100%, $E$13)</f>
        <v>3.6395</v>
      </c>
      <c r="K156" s="61">
        <f>3.6418 * CHOOSE(CONTROL!$C$22, $C$13, 100%, $E$13)</f>
        <v>3.6417999999999999</v>
      </c>
    </row>
    <row r="157" spans="1:11" ht="15">
      <c r="A157" s="13">
        <v>46631</v>
      </c>
      <c r="B157" s="60">
        <f>3.4174 * CHOOSE(CONTROL!$C$22, $C$13, 100%, $E$13)</f>
        <v>3.4174000000000002</v>
      </c>
      <c r="C157" s="60">
        <f>3.4174 * CHOOSE(CONTROL!$C$22, $C$13, 100%, $E$13)</f>
        <v>3.4174000000000002</v>
      </c>
      <c r="D157" s="60">
        <f>3.4551 * CHOOSE(CONTROL!$C$22, $C$13, 100%, $E$13)</f>
        <v>3.4550999999999998</v>
      </c>
      <c r="E157" s="61">
        <f>3.6323 * CHOOSE(CONTROL!$C$22, $C$13, 100%, $E$13)</f>
        <v>3.6322999999999999</v>
      </c>
      <c r="F157" s="61">
        <f>3.6323 * CHOOSE(CONTROL!$C$22, $C$13, 100%, $E$13)</f>
        <v>3.6322999999999999</v>
      </c>
      <c r="G157" s="61">
        <f>3.6346 * CHOOSE(CONTROL!$C$22, $C$13, 100%, $E$13)</f>
        <v>3.6345999999999998</v>
      </c>
      <c r="H157" s="61">
        <f>6.9054* CHOOSE(CONTROL!$C$22, $C$13, 100%, $E$13)</f>
        <v>6.9054000000000002</v>
      </c>
      <c r="I157" s="61">
        <f>6.9077 * CHOOSE(CONTROL!$C$22, $C$13, 100%, $E$13)</f>
        <v>6.9077000000000002</v>
      </c>
      <c r="J157" s="61">
        <f>3.6323 * CHOOSE(CONTROL!$C$22, $C$13, 100%, $E$13)</f>
        <v>3.6322999999999999</v>
      </c>
      <c r="K157" s="61">
        <f>3.6346 * CHOOSE(CONTROL!$C$22, $C$13, 100%, $E$13)</f>
        <v>3.6345999999999998</v>
      </c>
    </row>
    <row r="158" spans="1:11" ht="15">
      <c r="A158" s="13">
        <v>46661</v>
      </c>
      <c r="B158" s="60">
        <f>3.4105 * CHOOSE(CONTROL!$C$22, $C$13, 100%, $E$13)</f>
        <v>3.4104999999999999</v>
      </c>
      <c r="C158" s="60">
        <f>3.4105 * CHOOSE(CONTROL!$C$22, $C$13, 100%, $E$13)</f>
        <v>3.4104999999999999</v>
      </c>
      <c r="D158" s="60">
        <f>3.4293 * CHOOSE(CONTROL!$C$22, $C$13, 100%, $E$13)</f>
        <v>3.4293</v>
      </c>
      <c r="E158" s="61">
        <f>3.6393 * CHOOSE(CONTROL!$C$22, $C$13, 100%, $E$13)</f>
        <v>3.6393</v>
      </c>
      <c r="F158" s="61">
        <f>3.6393 * CHOOSE(CONTROL!$C$22, $C$13, 100%, $E$13)</f>
        <v>3.6393</v>
      </c>
      <c r="G158" s="61">
        <f>3.6395 * CHOOSE(CONTROL!$C$22, $C$13, 100%, $E$13)</f>
        <v>3.6395</v>
      </c>
      <c r="H158" s="61">
        <f>6.9198* CHOOSE(CONTROL!$C$22, $C$13, 100%, $E$13)</f>
        <v>6.9198000000000004</v>
      </c>
      <c r="I158" s="61">
        <f>6.9199 * CHOOSE(CONTROL!$C$22, $C$13, 100%, $E$13)</f>
        <v>6.9199000000000002</v>
      </c>
      <c r="J158" s="61">
        <f>3.6393 * CHOOSE(CONTROL!$C$22, $C$13, 100%, $E$13)</f>
        <v>3.6393</v>
      </c>
      <c r="K158" s="61">
        <f>3.6395 * CHOOSE(CONTROL!$C$22, $C$13, 100%, $E$13)</f>
        <v>3.6395</v>
      </c>
    </row>
    <row r="159" spans="1:11" ht="15">
      <c r="A159" s="13">
        <v>46692</v>
      </c>
      <c r="B159" s="60">
        <f>3.4135 * CHOOSE(CONTROL!$C$22, $C$13, 100%, $E$13)</f>
        <v>3.4135</v>
      </c>
      <c r="C159" s="60">
        <f>3.4135 * CHOOSE(CONTROL!$C$22, $C$13, 100%, $E$13)</f>
        <v>3.4135</v>
      </c>
      <c r="D159" s="60">
        <f>3.4323 * CHOOSE(CONTROL!$C$22, $C$13, 100%, $E$13)</f>
        <v>3.4323000000000001</v>
      </c>
      <c r="E159" s="61">
        <f>3.6516 * CHOOSE(CONTROL!$C$22, $C$13, 100%, $E$13)</f>
        <v>3.6516000000000002</v>
      </c>
      <c r="F159" s="61">
        <f>3.6516 * CHOOSE(CONTROL!$C$22, $C$13, 100%, $E$13)</f>
        <v>3.6516000000000002</v>
      </c>
      <c r="G159" s="61">
        <f>3.6518 * CHOOSE(CONTROL!$C$22, $C$13, 100%, $E$13)</f>
        <v>3.6518000000000002</v>
      </c>
      <c r="H159" s="61">
        <f>6.9342* CHOOSE(CONTROL!$C$22, $C$13, 100%, $E$13)</f>
        <v>6.9341999999999997</v>
      </c>
      <c r="I159" s="61">
        <f>6.9344 * CHOOSE(CONTROL!$C$22, $C$13, 100%, $E$13)</f>
        <v>6.9344000000000001</v>
      </c>
      <c r="J159" s="61">
        <f>3.6516 * CHOOSE(CONTROL!$C$22, $C$13, 100%, $E$13)</f>
        <v>3.6516000000000002</v>
      </c>
      <c r="K159" s="61">
        <f>3.6518 * CHOOSE(CONTROL!$C$22, $C$13, 100%, $E$13)</f>
        <v>3.6518000000000002</v>
      </c>
    </row>
    <row r="160" spans="1:11" ht="15">
      <c r="A160" s="13">
        <v>46722</v>
      </c>
      <c r="B160" s="60">
        <f>3.4135 * CHOOSE(CONTROL!$C$22, $C$13, 100%, $E$13)</f>
        <v>3.4135</v>
      </c>
      <c r="C160" s="60">
        <f>3.4135 * CHOOSE(CONTROL!$C$22, $C$13, 100%, $E$13)</f>
        <v>3.4135</v>
      </c>
      <c r="D160" s="60">
        <f>3.4323 * CHOOSE(CONTROL!$C$22, $C$13, 100%, $E$13)</f>
        <v>3.4323000000000001</v>
      </c>
      <c r="E160" s="61">
        <f>3.6261 * CHOOSE(CONTROL!$C$22, $C$13, 100%, $E$13)</f>
        <v>3.6261000000000001</v>
      </c>
      <c r="F160" s="61">
        <f>3.6261 * CHOOSE(CONTROL!$C$22, $C$13, 100%, $E$13)</f>
        <v>3.6261000000000001</v>
      </c>
      <c r="G160" s="61">
        <f>3.6263 * CHOOSE(CONTROL!$C$22, $C$13, 100%, $E$13)</f>
        <v>3.6263000000000001</v>
      </c>
      <c r="H160" s="61">
        <f>6.9486* CHOOSE(CONTROL!$C$22, $C$13, 100%, $E$13)</f>
        <v>6.9485999999999999</v>
      </c>
      <c r="I160" s="61">
        <f>6.9488 * CHOOSE(CONTROL!$C$22, $C$13, 100%, $E$13)</f>
        <v>6.9488000000000003</v>
      </c>
      <c r="J160" s="61">
        <f>3.6261 * CHOOSE(CONTROL!$C$22, $C$13, 100%, $E$13)</f>
        <v>3.6261000000000001</v>
      </c>
      <c r="K160" s="61">
        <f>3.6263 * CHOOSE(CONTROL!$C$22, $C$13, 100%, $E$13)</f>
        <v>3.6263000000000001</v>
      </c>
    </row>
    <row r="161" spans="1:11" ht="15">
      <c r="A161" s="13">
        <v>46753</v>
      </c>
      <c r="B161" s="60">
        <f>3.4451 * CHOOSE(CONTROL!$C$22, $C$13, 100%, $E$13)</f>
        <v>3.4451000000000001</v>
      </c>
      <c r="C161" s="60">
        <f>3.4451 * CHOOSE(CONTROL!$C$22, $C$13, 100%, $E$13)</f>
        <v>3.4451000000000001</v>
      </c>
      <c r="D161" s="60">
        <f>3.4639 * CHOOSE(CONTROL!$C$22, $C$13, 100%, $E$13)</f>
        <v>3.4639000000000002</v>
      </c>
      <c r="E161" s="61">
        <f>3.657 * CHOOSE(CONTROL!$C$22, $C$13, 100%, $E$13)</f>
        <v>3.657</v>
      </c>
      <c r="F161" s="61">
        <f>3.657 * CHOOSE(CONTROL!$C$22, $C$13, 100%, $E$13)</f>
        <v>3.657</v>
      </c>
      <c r="G161" s="61">
        <f>3.6571 * CHOOSE(CONTROL!$C$22, $C$13, 100%, $E$13)</f>
        <v>3.6570999999999998</v>
      </c>
      <c r="H161" s="61">
        <f>6.9631* CHOOSE(CONTROL!$C$22, $C$13, 100%, $E$13)</f>
        <v>6.9630999999999998</v>
      </c>
      <c r="I161" s="61">
        <f>6.9633 * CHOOSE(CONTROL!$C$22, $C$13, 100%, $E$13)</f>
        <v>6.9633000000000003</v>
      </c>
      <c r="J161" s="61">
        <f>3.657 * CHOOSE(CONTROL!$C$22, $C$13, 100%, $E$13)</f>
        <v>3.657</v>
      </c>
      <c r="K161" s="61">
        <f>3.6571 * CHOOSE(CONTROL!$C$22, $C$13, 100%, $E$13)</f>
        <v>3.6570999999999998</v>
      </c>
    </row>
    <row r="162" spans="1:11" ht="15">
      <c r="A162" s="13">
        <v>46784</v>
      </c>
      <c r="B162" s="60">
        <f>3.4421 * CHOOSE(CONTROL!$C$22, $C$13, 100%, $E$13)</f>
        <v>3.4420999999999999</v>
      </c>
      <c r="C162" s="60">
        <f>3.4421 * CHOOSE(CONTROL!$C$22, $C$13, 100%, $E$13)</f>
        <v>3.4420999999999999</v>
      </c>
      <c r="D162" s="60">
        <f>3.4609 * CHOOSE(CONTROL!$C$22, $C$13, 100%, $E$13)</f>
        <v>3.4609000000000001</v>
      </c>
      <c r="E162" s="61">
        <f>3.6037 * CHOOSE(CONTROL!$C$22, $C$13, 100%, $E$13)</f>
        <v>3.6036999999999999</v>
      </c>
      <c r="F162" s="61">
        <f>3.6037 * CHOOSE(CONTROL!$C$22, $C$13, 100%, $E$13)</f>
        <v>3.6036999999999999</v>
      </c>
      <c r="G162" s="61">
        <f>3.6039 * CHOOSE(CONTROL!$C$22, $C$13, 100%, $E$13)</f>
        <v>3.6038999999999999</v>
      </c>
      <c r="H162" s="61">
        <f>6.9776* CHOOSE(CONTROL!$C$22, $C$13, 100%, $E$13)</f>
        <v>6.9775999999999998</v>
      </c>
      <c r="I162" s="61">
        <f>6.9778 * CHOOSE(CONTROL!$C$22, $C$13, 100%, $E$13)</f>
        <v>6.9778000000000002</v>
      </c>
      <c r="J162" s="61">
        <f>3.6037 * CHOOSE(CONTROL!$C$22, $C$13, 100%, $E$13)</f>
        <v>3.6036999999999999</v>
      </c>
      <c r="K162" s="61">
        <f>3.6039 * CHOOSE(CONTROL!$C$22, $C$13, 100%, $E$13)</f>
        <v>3.6038999999999999</v>
      </c>
    </row>
    <row r="163" spans="1:11" ht="15">
      <c r="A163" s="13">
        <v>46813</v>
      </c>
      <c r="B163" s="60">
        <f>3.439 * CHOOSE(CONTROL!$C$22, $C$13, 100%, $E$13)</f>
        <v>3.4390000000000001</v>
      </c>
      <c r="C163" s="60">
        <f>3.439 * CHOOSE(CONTROL!$C$22, $C$13, 100%, $E$13)</f>
        <v>3.4390000000000001</v>
      </c>
      <c r="D163" s="60">
        <f>3.4578 * CHOOSE(CONTROL!$C$22, $C$13, 100%, $E$13)</f>
        <v>3.4578000000000002</v>
      </c>
      <c r="E163" s="61">
        <f>3.6419 * CHOOSE(CONTROL!$C$22, $C$13, 100%, $E$13)</f>
        <v>3.6419000000000001</v>
      </c>
      <c r="F163" s="61">
        <f>3.6419 * CHOOSE(CONTROL!$C$22, $C$13, 100%, $E$13)</f>
        <v>3.6419000000000001</v>
      </c>
      <c r="G163" s="61">
        <f>3.6421 * CHOOSE(CONTROL!$C$22, $C$13, 100%, $E$13)</f>
        <v>3.6421000000000001</v>
      </c>
      <c r="H163" s="61">
        <f>6.9921* CHOOSE(CONTROL!$C$22, $C$13, 100%, $E$13)</f>
        <v>6.9920999999999998</v>
      </c>
      <c r="I163" s="61">
        <f>6.9923 * CHOOSE(CONTROL!$C$22, $C$13, 100%, $E$13)</f>
        <v>6.9923000000000002</v>
      </c>
      <c r="J163" s="61">
        <f>3.6419 * CHOOSE(CONTROL!$C$22, $C$13, 100%, $E$13)</f>
        <v>3.6419000000000001</v>
      </c>
      <c r="K163" s="61">
        <f>3.6421 * CHOOSE(CONTROL!$C$22, $C$13, 100%, $E$13)</f>
        <v>3.6421000000000001</v>
      </c>
    </row>
    <row r="164" spans="1:11" ht="15">
      <c r="A164" s="13">
        <v>46844</v>
      </c>
      <c r="B164" s="60">
        <f>3.4362 * CHOOSE(CONTROL!$C$22, $C$13, 100%, $E$13)</f>
        <v>3.4361999999999999</v>
      </c>
      <c r="C164" s="60">
        <f>3.4362 * CHOOSE(CONTROL!$C$22, $C$13, 100%, $E$13)</f>
        <v>3.4361999999999999</v>
      </c>
      <c r="D164" s="60">
        <f>3.455 * CHOOSE(CONTROL!$C$22, $C$13, 100%, $E$13)</f>
        <v>3.4550000000000001</v>
      </c>
      <c r="E164" s="61">
        <f>3.681 * CHOOSE(CONTROL!$C$22, $C$13, 100%, $E$13)</f>
        <v>3.681</v>
      </c>
      <c r="F164" s="61">
        <f>3.681 * CHOOSE(CONTROL!$C$22, $C$13, 100%, $E$13)</f>
        <v>3.681</v>
      </c>
      <c r="G164" s="61">
        <f>3.6811 * CHOOSE(CONTROL!$C$22, $C$13, 100%, $E$13)</f>
        <v>3.6810999999999998</v>
      </c>
      <c r="H164" s="61">
        <f>7.0067* CHOOSE(CONTROL!$C$22, $C$13, 100%, $E$13)</f>
        <v>7.0067000000000004</v>
      </c>
      <c r="I164" s="61">
        <f>7.0069 * CHOOSE(CONTROL!$C$22, $C$13, 100%, $E$13)</f>
        <v>7.0068999999999999</v>
      </c>
      <c r="J164" s="61">
        <f>3.681 * CHOOSE(CONTROL!$C$22, $C$13, 100%, $E$13)</f>
        <v>3.681</v>
      </c>
      <c r="K164" s="61">
        <f>3.6811 * CHOOSE(CONTROL!$C$22, $C$13, 100%, $E$13)</f>
        <v>3.6810999999999998</v>
      </c>
    </row>
    <row r="165" spans="1:11" ht="15">
      <c r="A165" s="13">
        <v>46874</v>
      </c>
      <c r="B165" s="60">
        <f>3.4362 * CHOOSE(CONTROL!$C$22, $C$13, 100%, $E$13)</f>
        <v>3.4361999999999999</v>
      </c>
      <c r="C165" s="60">
        <f>3.4362 * CHOOSE(CONTROL!$C$22, $C$13, 100%, $E$13)</f>
        <v>3.4361999999999999</v>
      </c>
      <c r="D165" s="60">
        <f>3.4738 * CHOOSE(CONTROL!$C$22, $C$13, 100%, $E$13)</f>
        <v>3.4738000000000002</v>
      </c>
      <c r="E165" s="61">
        <f>3.6972 * CHOOSE(CONTROL!$C$22, $C$13, 100%, $E$13)</f>
        <v>3.6972</v>
      </c>
      <c r="F165" s="61">
        <f>3.6972 * CHOOSE(CONTROL!$C$22, $C$13, 100%, $E$13)</f>
        <v>3.6972</v>
      </c>
      <c r="G165" s="61">
        <f>3.6995 * CHOOSE(CONTROL!$C$22, $C$13, 100%, $E$13)</f>
        <v>3.6995</v>
      </c>
      <c r="H165" s="61">
        <f>7.0213* CHOOSE(CONTROL!$C$22, $C$13, 100%, $E$13)</f>
        <v>7.0213000000000001</v>
      </c>
      <c r="I165" s="61">
        <f>7.0236 * CHOOSE(CONTROL!$C$22, $C$13, 100%, $E$13)</f>
        <v>7.0236000000000001</v>
      </c>
      <c r="J165" s="61">
        <f>3.6972 * CHOOSE(CONTROL!$C$22, $C$13, 100%, $E$13)</f>
        <v>3.6972</v>
      </c>
      <c r="K165" s="61">
        <f>3.6995 * CHOOSE(CONTROL!$C$22, $C$13, 100%, $E$13)</f>
        <v>3.6995</v>
      </c>
    </row>
    <row r="166" spans="1:11" ht="15">
      <c r="A166" s="13">
        <v>46905</v>
      </c>
      <c r="B166" s="60">
        <f>3.4423 * CHOOSE(CONTROL!$C$22, $C$13, 100%, $E$13)</f>
        <v>3.4422999999999999</v>
      </c>
      <c r="C166" s="60">
        <f>3.4423 * CHOOSE(CONTROL!$C$22, $C$13, 100%, $E$13)</f>
        <v>3.4422999999999999</v>
      </c>
      <c r="D166" s="60">
        <f>3.4799 * CHOOSE(CONTROL!$C$22, $C$13, 100%, $E$13)</f>
        <v>3.4799000000000002</v>
      </c>
      <c r="E166" s="61">
        <f>3.6852 * CHOOSE(CONTROL!$C$22, $C$13, 100%, $E$13)</f>
        <v>3.6852</v>
      </c>
      <c r="F166" s="61">
        <f>3.6852 * CHOOSE(CONTROL!$C$22, $C$13, 100%, $E$13)</f>
        <v>3.6852</v>
      </c>
      <c r="G166" s="61">
        <f>3.6875 * CHOOSE(CONTROL!$C$22, $C$13, 100%, $E$13)</f>
        <v>3.6875</v>
      </c>
      <c r="H166" s="61">
        <f>7.0359* CHOOSE(CONTROL!$C$22, $C$13, 100%, $E$13)</f>
        <v>7.0358999999999998</v>
      </c>
      <c r="I166" s="61">
        <f>7.0382 * CHOOSE(CONTROL!$C$22, $C$13, 100%, $E$13)</f>
        <v>7.0381999999999998</v>
      </c>
      <c r="J166" s="61">
        <f>3.6852 * CHOOSE(CONTROL!$C$22, $C$13, 100%, $E$13)</f>
        <v>3.6852</v>
      </c>
      <c r="K166" s="61">
        <f>3.6875 * CHOOSE(CONTROL!$C$22, $C$13, 100%, $E$13)</f>
        <v>3.6875</v>
      </c>
    </row>
    <row r="167" spans="1:11" ht="15">
      <c r="A167" s="13">
        <v>46935</v>
      </c>
      <c r="B167" s="60">
        <f>3.5022 * CHOOSE(CONTROL!$C$22, $C$13, 100%, $E$13)</f>
        <v>3.5022000000000002</v>
      </c>
      <c r="C167" s="60">
        <f>3.5022 * CHOOSE(CONTROL!$C$22, $C$13, 100%, $E$13)</f>
        <v>3.5022000000000002</v>
      </c>
      <c r="D167" s="60">
        <f>3.5398 * CHOOSE(CONTROL!$C$22, $C$13, 100%, $E$13)</f>
        <v>3.5398000000000001</v>
      </c>
      <c r="E167" s="61">
        <f>3.6679 * CHOOSE(CONTROL!$C$22, $C$13, 100%, $E$13)</f>
        <v>3.6678999999999999</v>
      </c>
      <c r="F167" s="61">
        <f>3.6679 * CHOOSE(CONTROL!$C$22, $C$13, 100%, $E$13)</f>
        <v>3.6678999999999999</v>
      </c>
      <c r="G167" s="61">
        <f>3.6702 * CHOOSE(CONTROL!$C$22, $C$13, 100%, $E$13)</f>
        <v>3.6701999999999999</v>
      </c>
      <c r="H167" s="61">
        <f>7.0506* CHOOSE(CONTROL!$C$22, $C$13, 100%, $E$13)</f>
        <v>7.0506000000000002</v>
      </c>
      <c r="I167" s="61">
        <f>7.0529 * CHOOSE(CONTROL!$C$22, $C$13, 100%, $E$13)</f>
        <v>7.0529000000000002</v>
      </c>
      <c r="J167" s="61">
        <f>3.6679 * CHOOSE(CONTROL!$C$22, $C$13, 100%, $E$13)</f>
        <v>3.6678999999999999</v>
      </c>
      <c r="K167" s="61">
        <f>3.6702 * CHOOSE(CONTROL!$C$22, $C$13, 100%, $E$13)</f>
        <v>3.6701999999999999</v>
      </c>
    </row>
    <row r="168" spans="1:11" ht="15">
      <c r="A168" s="13">
        <v>46966</v>
      </c>
      <c r="B168" s="60">
        <f>3.5089 * CHOOSE(CONTROL!$C$22, $C$13, 100%, $E$13)</f>
        <v>3.5089000000000001</v>
      </c>
      <c r="C168" s="60">
        <f>3.5089 * CHOOSE(CONTROL!$C$22, $C$13, 100%, $E$13)</f>
        <v>3.5089000000000001</v>
      </c>
      <c r="D168" s="60">
        <f>3.5465 * CHOOSE(CONTROL!$C$22, $C$13, 100%, $E$13)</f>
        <v>3.5465</v>
      </c>
      <c r="E168" s="61">
        <f>3.6238 * CHOOSE(CONTROL!$C$22, $C$13, 100%, $E$13)</f>
        <v>3.6238000000000001</v>
      </c>
      <c r="F168" s="61">
        <f>3.6238 * CHOOSE(CONTROL!$C$22, $C$13, 100%, $E$13)</f>
        <v>3.6238000000000001</v>
      </c>
      <c r="G168" s="61">
        <f>3.6261 * CHOOSE(CONTROL!$C$22, $C$13, 100%, $E$13)</f>
        <v>3.6261000000000001</v>
      </c>
      <c r="H168" s="61">
        <f>7.0653* CHOOSE(CONTROL!$C$22, $C$13, 100%, $E$13)</f>
        <v>7.0652999999999997</v>
      </c>
      <c r="I168" s="61">
        <f>7.0676 * CHOOSE(CONTROL!$C$22, $C$13, 100%, $E$13)</f>
        <v>7.0675999999999997</v>
      </c>
      <c r="J168" s="61">
        <f>3.6238 * CHOOSE(CONTROL!$C$22, $C$13, 100%, $E$13)</f>
        <v>3.6238000000000001</v>
      </c>
      <c r="K168" s="61">
        <f>3.6261 * CHOOSE(CONTROL!$C$22, $C$13, 100%, $E$13)</f>
        <v>3.6261000000000001</v>
      </c>
    </row>
    <row r="169" spans="1:11" ht="15">
      <c r="A169" s="13">
        <v>46997</v>
      </c>
      <c r="B169" s="60">
        <f>3.5058 * CHOOSE(CONTROL!$C$22, $C$13, 100%, $E$13)</f>
        <v>3.5057999999999998</v>
      </c>
      <c r="C169" s="60">
        <f>3.5058 * CHOOSE(CONTROL!$C$22, $C$13, 100%, $E$13)</f>
        <v>3.5057999999999998</v>
      </c>
      <c r="D169" s="60">
        <f>3.5434 * CHOOSE(CONTROL!$C$22, $C$13, 100%, $E$13)</f>
        <v>3.5434000000000001</v>
      </c>
      <c r="E169" s="61">
        <f>3.6163 * CHOOSE(CONTROL!$C$22, $C$13, 100%, $E$13)</f>
        <v>3.6162999999999998</v>
      </c>
      <c r="F169" s="61">
        <f>3.6163 * CHOOSE(CONTROL!$C$22, $C$13, 100%, $E$13)</f>
        <v>3.6162999999999998</v>
      </c>
      <c r="G169" s="61">
        <f>3.6186 * CHOOSE(CONTROL!$C$22, $C$13, 100%, $E$13)</f>
        <v>3.6185999999999998</v>
      </c>
      <c r="H169" s="61">
        <f>7.08* CHOOSE(CONTROL!$C$22, $C$13, 100%, $E$13)</f>
        <v>7.08</v>
      </c>
      <c r="I169" s="61">
        <f>7.0823 * CHOOSE(CONTROL!$C$22, $C$13, 100%, $E$13)</f>
        <v>7.0823</v>
      </c>
      <c r="J169" s="61">
        <f>3.6163 * CHOOSE(CONTROL!$C$22, $C$13, 100%, $E$13)</f>
        <v>3.6162999999999998</v>
      </c>
      <c r="K169" s="61">
        <f>3.6186 * CHOOSE(CONTROL!$C$22, $C$13, 100%, $E$13)</f>
        <v>3.6185999999999998</v>
      </c>
    </row>
    <row r="170" spans="1:11" ht="15">
      <c r="A170" s="13">
        <v>47027</v>
      </c>
      <c r="B170" s="60">
        <f>3.4992 * CHOOSE(CONTROL!$C$22, $C$13, 100%, $E$13)</f>
        <v>3.4992000000000001</v>
      </c>
      <c r="C170" s="60">
        <f>3.4992 * CHOOSE(CONTROL!$C$22, $C$13, 100%, $E$13)</f>
        <v>3.4992000000000001</v>
      </c>
      <c r="D170" s="60">
        <f>3.518 * CHOOSE(CONTROL!$C$22, $C$13, 100%, $E$13)</f>
        <v>3.5179999999999998</v>
      </c>
      <c r="E170" s="61">
        <f>3.6245 * CHOOSE(CONTROL!$C$22, $C$13, 100%, $E$13)</f>
        <v>3.6244999999999998</v>
      </c>
      <c r="F170" s="61">
        <f>3.6245 * CHOOSE(CONTROL!$C$22, $C$13, 100%, $E$13)</f>
        <v>3.6244999999999998</v>
      </c>
      <c r="G170" s="61">
        <f>3.6247 * CHOOSE(CONTROL!$C$22, $C$13, 100%, $E$13)</f>
        <v>3.6246999999999998</v>
      </c>
      <c r="H170" s="61">
        <f>7.0947* CHOOSE(CONTROL!$C$22, $C$13, 100%, $E$13)</f>
        <v>7.0946999999999996</v>
      </c>
      <c r="I170" s="61">
        <f>7.0949 * CHOOSE(CONTROL!$C$22, $C$13, 100%, $E$13)</f>
        <v>7.0949</v>
      </c>
      <c r="J170" s="61">
        <f>3.6245 * CHOOSE(CONTROL!$C$22, $C$13, 100%, $E$13)</f>
        <v>3.6244999999999998</v>
      </c>
      <c r="K170" s="61">
        <f>3.6247 * CHOOSE(CONTROL!$C$22, $C$13, 100%, $E$13)</f>
        <v>3.6246999999999998</v>
      </c>
    </row>
    <row r="171" spans="1:11" ht="15">
      <c r="A171" s="13">
        <v>47058</v>
      </c>
      <c r="B171" s="60">
        <f>3.5022 * CHOOSE(CONTROL!$C$22, $C$13, 100%, $E$13)</f>
        <v>3.5022000000000002</v>
      </c>
      <c r="C171" s="60">
        <f>3.5022 * CHOOSE(CONTROL!$C$22, $C$13, 100%, $E$13)</f>
        <v>3.5022000000000002</v>
      </c>
      <c r="D171" s="60">
        <f>3.521 * CHOOSE(CONTROL!$C$22, $C$13, 100%, $E$13)</f>
        <v>3.5209999999999999</v>
      </c>
      <c r="E171" s="61">
        <f>3.6375 * CHOOSE(CONTROL!$C$22, $C$13, 100%, $E$13)</f>
        <v>3.6375000000000002</v>
      </c>
      <c r="F171" s="61">
        <f>3.6375 * CHOOSE(CONTROL!$C$22, $C$13, 100%, $E$13)</f>
        <v>3.6375000000000002</v>
      </c>
      <c r="G171" s="61">
        <f>3.6376 * CHOOSE(CONTROL!$C$22, $C$13, 100%, $E$13)</f>
        <v>3.6375999999999999</v>
      </c>
      <c r="H171" s="61">
        <f>7.1095* CHOOSE(CONTROL!$C$22, $C$13, 100%, $E$13)</f>
        <v>7.1094999999999997</v>
      </c>
      <c r="I171" s="61">
        <f>7.1097 * CHOOSE(CONTROL!$C$22, $C$13, 100%, $E$13)</f>
        <v>7.1097000000000001</v>
      </c>
      <c r="J171" s="61">
        <f>3.6375 * CHOOSE(CONTROL!$C$22, $C$13, 100%, $E$13)</f>
        <v>3.6375000000000002</v>
      </c>
      <c r="K171" s="61">
        <f>3.6376 * CHOOSE(CONTROL!$C$22, $C$13, 100%, $E$13)</f>
        <v>3.6375999999999999</v>
      </c>
    </row>
    <row r="172" spans="1:11" ht="15">
      <c r="A172" s="13">
        <v>47088</v>
      </c>
      <c r="B172" s="60">
        <f>3.5022 * CHOOSE(CONTROL!$C$22, $C$13, 100%, $E$13)</f>
        <v>3.5022000000000002</v>
      </c>
      <c r="C172" s="60">
        <f>3.5022 * CHOOSE(CONTROL!$C$22, $C$13, 100%, $E$13)</f>
        <v>3.5022000000000002</v>
      </c>
      <c r="D172" s="60">
        <f>3.521 * CHOOSE(CONTROL!$C$22, $C$13, 100%, $E$13)</f>
        <v>3.5209999999999999</v>
      </c>
      <c r="E172" s="61">
        <f>3.6104 * CHOOSE(CONTROL!$C$22, $C$13, 100%, $E$13)</f>
        <v>3.6103999999999998</v>
      </c>
      <c r="F172" s="61">
        <f>3.6104 * CHOOSE(CONTROL!$C$22, $C$13, 100%, $E$13)</f>
        <v>3.6103999999999998</v>
      </c>
      <c r="G172" s="61">
        <f>3.6106 * CHOOSE(CONTROL!$C$22, $C$13, 100%, $E$13)</f>
        <v>3.6105999999999998</v>
      </c>
      <c r="H172" s="61">
        <f>7.1243* CHOOSE(CONTROL!$C$22, $C$13, 100%, $E$13)</f>
        <v>7.1242999999999999</v>
      </c>
      <c r="I172" s="61">
        <f>7.1245 * CHOOSE(CONTROL!$C$22, $C$13, 100%, $E$13)</f>
        <v>7.1245000000000003</v>
      </c>
      <c r="J172" s="61">
        <f>3.6104 * CHOOSE(CONTROL!$C$22, $C$13, 100%, $E$13)</f>
        <v>3.6103999999999998</v>
      </c>
      <c r="K172" s="61">
        <f>3.6106 * CHOOSE(CONTROL!$C$22, $C$13, 100%, $E$13)</f>
        <v>3.6105999999999998</v>
      </c>
    </row>
    <row r="173" spans="1:11" ht="15">
      <c r="A173" s="13">
        <v>47119</v>
      </c>
      <c r="B173" s="60">
        <f>3.5334 * CHOOSE(CONTROL!$C$22, $C$13, 100%, $E$13)</f>
        <v>3.5333999999999999</v>
      </c>
      <c r="C173" s="60">
        <f>3.5334 * CHOOSE(CONTROL!$C$22, $C$13, 100%, $E$13)</f>
        <v>3.5333999999999999</v>
      </c>
      <c r="D173" s="60">
        <f>3.5522 * CHOOSE(CONTROL!$C$22, $C$13, 100%, $E$13)</f>
        <v>3.5522</v>
      </c>
      <c r="E173" s="61">
        <f>3.6805 * CHOOSE(CONTROL!$C$22, $C$13, 100%, $E$13)</f>
        <v>3.6804999999999999</v>
      </c>
      <c r="F173" s="61">
        <f>3.6805 * CHOOSE(CONTROL!$C$22, $C$13, 100%, $E$13)</f>
        <v>3.6804999999999999</v>
      </c>
      <c r="G173" s="61">
        <f>3.6806 * CHOOSE(CONTROL!$C$22, $C$13, 100%, $E$13)</f>
        <v>3.6806000000000001</v>
      </c>
      <c r="H173" s="61">
        <f>7.1392* CHOOSE(CONTROL!$C$22, $C$13, 100%, $E$13)</f>
        <v>7.1391999999999998</v>
      </c>
      <c r="I173" s="61">
        <f>7.1394 * CHOOSE(CONTROL!$C$22, $C$13, 100%, $E$13)</f>
        <v>7.1394000000000002</v>
      </c>
      <c r="J173" s="61">
        <f>3.6805 * CHOOSE(CONTROL!$C$22, $C$13, 100%, $E$13)</f>
        <v>3.6804999999999999</v>
      </c>
      <c r="K173" s="61">
        <f>3.6806 * CHOOSE(CONTROL!$C$22, $C$13, 100%, $E$13)</f>
        <v>3.6806000000000001</v>
      </c>
    </row>
    <row r="174" spans="1:11" ht="15">
      <c r="A174" s="13">
        <v>47150</v>
      </c>
      <c r="B174" s="60">
        <f>3.5303 * CHOOSE(CONTROL!$C$22, $C$13, 100%, $E$13)</f>
        <v>3.5303</v>
      </c>
      <c r="C174" s="60">
        <f>3.5303 * CHOOSE(CONTROL!$C$22, $C$13, 100%, $E$13)</f>
        <v>3.5303</v>
      </c>
      <c r="D174" s="60">
        <f>3.5492 * CHOOSE(CONTROL!$C$22, $C$13, 100%, $E$13)</f>
        <v>3.5491999999999999</v>
      </c>
      <c r="E174" s="61">
        <f>3.6258 * CHOOSE(CONTROL!$C$22, $C$13, 100%, $E$13)</f>
        <v>3.6257999999999999</v>
      </c>
      <c r="F174" s="61">
        <f>3.6258 * CHOOSE(CONTROL!$C$22, $C$13, 100%, $E$13)</f>
        <v>3.6257999999999999</v>
      </c>
      <c r="G174" s="61">
        <f>3.626 * CHOOSE(CONTROL!$C$22, $C$13, 100%, $E$13)</f>
        <v>3.6259999999999999</v>
      </c>
      <c r="H174" s="61">
        <f>7.1541* CHOOSE(CONTROL!$C$22, $C$13, 100%, $E$13)</f>
        <v>7.1540999999999997</v>
      </c>
      <c r="I174" s="61">
        <f>7.1542 * CHOOSE(CONTROL!$C$22, $C$13, 100%, $E$13)</f>
        <v>7.1542000000000003</v>
      </c>
      <c r="J174" s="61">
        <f>3.6258 * CHOOSE(CONTROL!$C$22, $C$13, 100%, $E$13)</f>
        <v>3.6257999999999999</v>
      </c>
      <c r="K174" s="61">
        <f>3.626 * CHOOSE(CONTROL!$C$22, $C$13, 100%, $E$13)</f>
        <v>3.6259999999999999</v>
      </c>
    </row>
    <row r="175" spans="1:11" ht="15">
      <c r="A175" s="13">
        <v>47178</v>
      </c>
      <c r="B175" s="60">
        <f>3.5273 * CHOOSE(CONTROL!$C$22, $C$13, 100%, $E$13)</f>
        <v>3.5272999999999999</v>
      </c>
      <c r="C175" s="60">
        <f>3.5273 * CHOOSE(CONTROL!$C$22, $C$13, 100%, $E$13)</f>
        <v>3.5272999999999999</v>
      </c>
      <c r="D175" s="60">
        <f>3.5461 * CHOOSE(CONTROL!$C$22, $C$13, 100%, $E$13)</f>
        <v>3.5461</v>
      </c>
      <c r="E175" s="61">
        <f>3.6651 * CHOOSE(CONTROL!$C$22, $C$13, 100%, $E$13)</f>
        <v>3.6650999999999998</v>
      </c>
      <c r="F175" s="61">
        <f>3.6651 * CHOOSE(CONTROL!$C$22, $C$13, 100%, $E$13)</f>
        <v>3.6650999999999998</v>
      </c>
      <c r="G175" s="61">
        <f>3.6653 * CHOOSE(CONTROL!$C$22, $C$13, 100%, $E$13)</f>
        <v>3.6652999999999998</v>
      </c>
      <c r="H175" s="61">
        <f>7.169* CHOOSE(CONTROL!$C$22, $C$13, 100%, $E$13)</f>
        <v>7.1689999999999996</v>
      </c>
      <c r="I175" s="61">
        <f>7.1691 * CHOOSE(CONTROL!$C$22, $C$13, 100%, $E$13)</f>
        <v>7.1691000000000003</v>
      </c>
      <c r="J175" s="61">
        <f>3.6651 * CHOOSE(CONTROL!$C$22, $C$13, 100%, $E$13)</f>
        <v>3.6650999999999998</v>
      </c>
      <c r="K175" s="61">
        <f>3.6653 * CHOOSE(CONTROL!$C$22, $C$13, 100%, $E$13)</f>
        <v>3.6652999999999998</v>
      </c>
    </row>
    <row r="176" spans="1:11" ht="15">
      <c r="A176" s="13">
        <v>47209</v>
      </c>
      <c r="B176" s="60">
        <f>3.5245 * CHOOSE(CONTROL!$C$22, $C$13, 100%, $E$13)</f>
        <v>3.5245000000000002</v>
      </c>
      <c r="C176" s="60">
        <f>3.5245 * CHOOSE(CONTROL!$C$22, $C$13, 100%, $E$13)</f>
        <v>3.5245000000000002</v>
      </c>
      <c r="D176" s="60">
        <f>3.5433 * CHOOSE(CONTROL!$C$22, $C$13, 100%, $E$13)</f>
        <v>3.5432999999999999</v>
      </c>
      <c r="E176" s="61">
        <f>3.7054 * CHOOSE(CONTROL!$C$22, $C$13, 100%, $E$13)</f>
        <v>3.7054</v>
      </c>
      <c r="F176" s="61">
        <f>3.7054 * CHOOSE(CONTROL!$C$22, $C$13, 100%, $E$13)</f>
        <v>3.7054</v>
      </c>
      <c r="G176" s="61">
        <f>3.7055 * CHOOSE(CONTROL!$C$22, $C$13, 100%, $E$13)</f>
        <v>3.7054999999999998</v>
      </c>
      <c r="H176" s="61">
        <f>7.1839* CHOOSE(CONTROL!$C$22, $C$13, 100%, $E$13)</f>
        <v>7.1839000000000004</v>
      </c>
      <c r="I176" s="61">
        <f>7.1841 * CHOOSE(CONTROL!$C$22, $C$13, 100%, $E$13)</f>
        <v>7.1840999999999999</v>
      </c>
      <c r="J176" s="61">
        <f>3.7054 * CHOOSE(CONTROL!$C$22, $C$13, 100%, $E$13)</f>
        <v>3.7054</v>
      </c>
      <c r="K176" s="61">
        <f>3.7055 * CHOOSE(CONTROL!$C$22, $C$13, 100%, $E$13)</f>
        <v>3.7054999999999998</v>
      </c>
    </row>
    <row r="177" spans="1:11" ht="15">
      <c r="A177" s="13">
        <v>47239</v>
      </c>
      <c r="B177" s="60">
        <f>3.5245 * CHOOSE(CONTROL!$C$22, $C$13, 100%, $E$13)</f>
        <v>3.5245000000000002</v>
      </c>
      <c r="C177" s="60">
        <f>3.5245 * CHOOSE(CONTROL!$C$22, $C$13, 100%, $E$13)</f>
        <v>3.5245000000000002</v>
      </c>
      <c r="D177" s="60">
        <f>3.5622 * CHOOSE(CONTROL!$C$22, $C$13, 100%, $E$13)</f>
        <v>3.5621999999999998</v>
      </c>
      <c r="E177" s="61">
        <f>3.722 * CHOOSE(CONTROL!$C$22, $C$13, 100%, $E$13)</f>
        <v>3.722</v>
      </c>
      <c r="F177" s="61">
        <f>3.722 * CHOOSE(CONTROL!$C$22, $C$13, 100%, $E$13)</f>
        <v>3.722</v>
      </c>
      <c r="G177" s="61">
        <f>3.7244 * CHOOSE(CONTROL!$C$22, $C$13, 100%, $E$13)</f>
        <v>3.7244000000000002</v>
      </c>
      <c r="H177" s="61">
        <f>7.1989* CHOOSE(CONTROL!$C$22, $C$13, 100%, $E$13)</f>
        <v>7.1989000000000001</v>
      </c>
      <c r="I177" s="61">
        <f>7.2012 * CHOOSE(CONTROL!$C$22, $C$13, 100%, $E$13)</f>
        <v>7.2012</v>
      </c>
      <c r="J177" s="61">
        <f>3.722 * CHOOSE(CONTROL!$C$22, $C$13, 100%, $E$13)</f>
        <v>3.722</v>
      </c>
      <c r="K177" s="61">
        <f>3.7244 * CHOOSE(CONTROL!$C$22, $C$13, 100%, $E$13)</f>
        <v>3.7244000000000002</v>
      </c>
    </row>
    <row r="178" spans="1:11" ht="15">
      <c r="A178" s="13">
        <v>47270</v>
      </c>
      <c r="B178" s="60">
        <f>3.5306 * CHOOSE(CONTROL!$C$22, $C$13, 100%, $E$13)</f>
        <v>3.5306000000000002</v>
      </c>
      <c r="C178" s="60">
        <f>3.5306 * CHOOSE(CONTROL!$C$22, $C$13, 100%, $E$13)</f>
        <v>3.5306000000000002</v>
      </c>
      <c r="D178" s="60">
        <f>3.5682 * CHOOSE(CONTROL!$C$22, $C$13, 100%, $E$13)</f>
        <v>3.5682</v>
      </c>
      <c r="E178" s="61">
        <f>3.7096 * CHOOSE(CONTROL!$C$22, $C$13, 100%, $E$13)</f>
        <v>3.7096</v>
      </c>
      <c r="F178" s="61">
        <f>3.7096 * CHOOSE(CONTROL!$C$22, $C$13, 100%, $E$13)</f>
        <v>3.7096</v>
      </c>
      <c r="G178" s="61">
        <f>3.7119 * CHOOSE(CONTROL!$C$22, $C$13, 100%, $E$13)</f>
        <v>3.7119</v>
      </c>
      <c r="H178" s="61">
        <f>7.2139* CHOOSE(CONTROL!$C$22, $C$13, 100%, $E$13)</f>
        <v>7.2138999999999998</v>
      </c>
      <c r="I178" s="61">
        <f>7.2162 * CHOOSE(CONTROL!$C$22, $C$13, 100%, $E$13)</f>
        <v>7.2161999999999997</v>
      </c>
      <c r="J178" s="61">
        <f>3.7096 * CHOOSE(CONTROL!$C$22, $C$13, 100%, $E$13)</f>
        <v>3.7096</v>
      </c>
      <c r="K178" s="61">
        <f>3.7119 * CHOOSE(CONTROL!$C$22, $C$13, 100%, $E$13)</f>
        <v>3.7119</v>
      </c>
    </row>
    <row r="179" spans="1:11" ht="15">
      <c r="A179" s="13">
        <v>47300</v>
      </c>
      <c r="B179" s="60">
        <f>3.5897 * CHOOSE(CONTROL!$C$22, $C$13, 100%, $E$13)</f>
        <v>3.5897000000000001</v>
      </c>
      <c r="C179" s="60">
        <f>3.5897 * CHOOSE(CONTROL!$C$22, $C$13, 100%, $E$13)</f>
        <v>3.5897000000000001</v>
      </c>
      <c r="D179" s="60">
        <f>3.6273 * CHOOSE(CONTROL!$C$22, $C$13, 100%, $E$13)</f>
        <v>3.6273</v>
      </c>
      <c r="E179" s="61">
        <f>3.8261 * CHOOSE(CONTROL!$C$22, $C$13, 100%, $E$13)</f>
        <v>3.8260999999999998</v>
      </c>
      <c r="F179" s="61">
        <f>3.8261 * CHOOSE(CONTROL!$C$22, $C$13, 100%, $E$13)</f>
        <v>3.8260999999999998</v>
      </c>
      <c r="G179" s="61">
        <f>3.8284 * CHOOSE(CONTROL!$C$22, $C$13, 100%, $E$13)</f>
        <v>3.8283999999999998</v>
      </c>
      <c r="H179" s="61">
        <f>7.2289* CHOOSE(CONTROL!$C$22, $C$13, 100%, $E$13)</f>
        <v>7.2289000000000003</v>
      </c>
      <c r="I179" s="61">
        <f>7.2312 * CHOOSE(CONTROL!$C$22, $C$13, 100%, $E$13)</f>
        <v>7.2312000000000003</v>
      </c>
      <c r="J179" s="61">
        <f>3.8261 * CHOOSE(CONTROL!$C$22, $C$13, 100%, $E$13)</f>
        <v>3.8260999999999998</v>
      </c>
      <c r="K179" s="61">
        <f>3.8284 * CHOOSE(CONTROL!$C$22, $C$13, 100%, $E$13)</f>
        <v>3.8283999999999998</v>
      </c>
    </row>
    <row r="180" spans="1:11" ht="15">
      <c r="A180" s="13">
        <v>47331</v>
      </c>
      <c r="B180" s="60">
        <f>3.5964 * CHOOSE(CONTROL!$C$22, $C$13, 100%, $E$13)</f>
        <v>3.5964</v>
      </c>
      <c r="C180" s="60">
        <f>3.5964 * CHOOSE(CONTROL!$C$22, $C$13, 100%, $E$13)</f>
        <v>3.5964</v>
      </c>
      <c r="D180" s="60">
        <f>3.634 * CHOOSE(CONTROL!$C$22, $C$13, 100%, $E$13)</f>
        <v>3.6339999999999999</v>
      </c>
      <c r="E180" s="61">
        <f>3.7807 * CHOOSE(CONTROL!$C$22, $C$13, 100%, $E$13)</f>
        <v>3.7806999999999999</v>
      </c>
      <c r="F180" s="61">
        <f>3.7807 * CHOOSE(CONTROL!$C$22, $C$13, 100%, $E$13)</f>
        <v>3.7806999999999999</v>
      </c>
      <c r="G180" s="61">
        <f>3.783 * CHOOSE(CONTROL!$C$22, $C$13, 100%, $E$13)</f>
        <v>3.7829999999999999</v>
      </c>
      <c r="H180" s="61">
        <f>7.244* CHOOSE(CONTROL!$C$22, $C$13, 100%, $E$13)</f>
        <v>7.2439999999999998</v>
      </c>
      <c r="I180" s="61">
        <f>7.2463 * CHOOSE(CONTROL!$C$22, $C$13, 100%, $E$13)</f>
        <v>7.2462999999999997</v>
      </c>
      <c r="J180" s="61">
        <f>3.7807 * CHOOSE(CONTROL!$C$22, $C$13, 100%, $E$13)</f>
        <v>3.7806999999999999</v>
      </c>
      <c r="K180" s="61">
        <f>3.783 * CHOOSE(CONTROL!$C$22, $C$13, 100%, $E$13)</f>
        <v>3.7829999999999999</v>
      </c>
    </row>
    <row r="181" spans="1:11" ht="15">
      <c r="A181" s="13">
        <v>47362</v>
      </c>
      <c r="B181" s="60">
        <f>3.5933 * CHOOSE(CONTROL!$C$22, $C$13, 100%, $E$13)</f>
        <v>3.5933000000000002</v>
      </c>
      <c r="C181" s="60">
        <f>3.5933 * CHOOSE(CONTROL!$C$22, $C$13, 100%, $E$13)</f>
        <v>3.5933000000000002</v>
      </c>
      <c r="D181" s="60">
        <f>3.631 * CHOOSE(CONTROL!$C$22, $C$13, 100%, $E$13)</f>
        <v>3.6309999999999998</v>
      </c>
      <c r="E181" s="61">
        <f>3.773 * CHOOSE(CONTROL!$C$22, $C$13, 100%, $E$13)</f>
        <v>3.7730000000000001</v>
      </c>
      <c r="F181" s="61">
        <f>3.773 * CHOOSE(CONTROL!$C$22, $C$13, 100%, $E$13)</f>
        <v>3.7730000000000001</v>
      </c>
      <c r="G181" s="61">
        <f>3.7754 * CHOOSE(CONTROL!$C$22, $C$13, 100%, $E$13)</f>
        <v>3.7753999999999999</v>
      </c>
      <c r="H181" s="61">
        <f>7.259* CHOOSE(CONTROL!$C$22, $C$13, 100%, $E$13)</f>
        <v>7.2590000000000003</v>
      </c>
      <c r="I181" s="61">
        <f>7.2614 * CHOOSE(CONTROL!$C$22, $C$13, 100%, $E$13)</f>
        <v>7.2614000000000001</v>
      </c>
      <c r="J181" s="61">
        <f>3.773 * CHOOSE(CONTROL!$C$22, $C$13, 100%, $E$13)</f>
        <v>3.7730000000000001</v>
      </c>
      <c r="K181" s="61">
        <f>3.7754 * CHOOSE(CONTROL!$C$22, $C$13, 100%, $E$13)</f>
        <v>3.7753999999999999</v>
      </c>
    </row>
    <row r="182" spans="1:11" ht="15">
      <c r="A182" s="13">
        <v>47392</v>
      </c>
      <c r="B182" s="60">
        <f>3.587 * CHOOSE(CONTROL!$C$22, $C$13, 100%, $E$13)</f>
        <v>3.5870000000000002</v>
      </c>
      <c r="C182" s="60">
        <f>3.587 * CHOOSE(CONTROL!$C$22, $C$13, 100%, $E$13)</f>
        <v>3.5870000000000002</v>
      </c>
      <c r="D182" s="60">
        <f>3.6058 * CHOOSE(CONTROL!$C$22, $C$13, 100%, $E$13)</f>
        <v>3.6057999999999999</v>
      </c>
      <c r="E182" s="61">
        <f>3.7819 * CHOOSE(CONTROL!$C$22, $C$13, 100%, $E$13)</f>
        <v>3.7818999999999998</v>
      </c>
      <c r="F182" s="61">
        <f>3.7819 * CHOOSE(CONTROL!$C$22, $C$13, 100%, $E$13)</f>
        <v>3.7818999999999998</v>
      </c>
      <c r="G182" s="61">
        <f>3.782 * CHOOSE(CONTROL!$C$22, $C$13, 100%, $E$13)</f>
        <v>3.782</v>
      </c>
      <c r="H182" s="61">
        <f>7.2742* CHOOSE(CONTROL!$C$22, $C$13, 100%, $E$13)</f>
        <v>7.2742000000000004</v>
      </c>
      <c r="I182" s="61">
        <f>7.2743 * CHOOSE(CONTROL!$C$22, $C$13, 100%, $E$13)</f>
        <v>7.2743000000000002</v>
      </c>
      <c r="J182" s="61">
        <f>3.7819 * CHOOSE(CONTROL!$C$22, $C$13, 100%, $E$13)</f>
        <v>3.7818999999999998</v>
      </c>
      <c r="K182" s="61">
        <f>3.782 * CHOOSE(CONTROL!$C$22, $C$13, 100%, $E$13)</f>
        <v>3.782</v>
      </c>
    </row>
    <row r="183" spans="1:11" ht="15">
      <c r="A183" s="13">
        <v>47423</v>
      </c>
      <c r="B183" s="60">
        <f>3.59 * CHOOSE(CONTROL!$C$22, $C$13, 100%, $E$13)</f>
        <v>3.59</v>
      </c>
      <c r="C183" s="60">
        <f>3.59 * CHOOSE(CONTROL!$C$22, $C$13, 100%, $E$13)</f>
        <v>3.59</v>
      </c>
      <c r="D183" s="60">
        <f>3.6088 * CHOOSE(CONTROL!$C$22, $C$13, 100%, $E$13)</f>
        <v>3.6088</v>
      </c>
      <c r="E183" s="61">
        <f>3.7951 * CHOOSE(CONTROL!$C$22, $C$13, 100%, $E$13)</f>
        <v>3.7951000000000001</v>
      </c>
      <c r="F183" s="61">
        <f>3.7951 * CHOOSE(CONTROL!$C$22, $C$13, 100%, $E$13)</f>
        <v>3.7951000000000001</v>
      </c>
      <c r="G183" s="61">
        <f>3.7953 * CHOOSE(CONTROL!$C$22, $C$13, 100%, $E$13)</f>
        <v>3.7953000000000001</v>
      </c>
      <c r="H183" s="61">
        <f>7.2893* CHOOSE(CONTROL!$C$22, $C$13, 100%, $E$13)</f>
        <v>7.2892999999999999</v>
      </c>
      <c r="I183" s="61">
        <f>7.2895 * CHOOSE(CONTROL!$C$22, $C$13, 100%, $E$13)</f>
        <v>7.2895000000000003</v>
      </c>
      <c r="J183" s="61">
        <f>3.7951 * CHOOSE(CONTROL!$C$22, $C$13, 100%, $E$13)</f>
        <v>3.7951000000000001</v>
      </c>
      <c r="K183" s="61">
        <f>3.7953 * CHOOSE(CONTROL!$C$22, $C$13, 100%, $E$13)</f>
        <v>3.7953000000000001</v>
      </c>
    </row>
    <row r="184" spans="1:11" ht="15">
      <c r="A184" s="13">
        <v>47453</v>
      </c>
      <c r="B184" s="60">
        <f>3.59 * CHOOSE(CONTROL!$C$22, $C$13, 100%, $E$13)</f>
        <v>3.59</v>
      </c>
      <c r="C184" s="60">
        <f>3.59 * CHOOSE(CONTROL!$C$22, $C$13, 100%, $E$13)</f>
        <v>3.59</v>
      </c>
      <c r="D184" s="60">
        <f>3.6088 * CHOOSE(CONTROL!$C$22, $C$13, 100%, $E$13)</f>
        <v>3.6088</v>
      </c>
      <c r="E184" s="61">
        <f>3.7673 * CHOOSE(CONTROL!$C$22, $C$13, 100%, $E$13)</f>
        <v>3.7673000000000001</v>
      </c>
      <c r="F184" s="61">
        <f>3.7673 * CHOOSE(CONTROL!$C$22, $C$13, 100%, $E$13)</f>
        <v>3.7673000000000001</v>
      </c>
      <c r="G184" s="61">
        <f>3.7675 * CHOOSE(CONTROL!$C$22, $C$13, 100%, $E$13)</f>
        <v>3.7675000000000001</v>
      </c>
      <c r="H184" s="61">
        <f>7.3045* CHOOSE(CONTROL!$C$22, $C$13, 100%, $E$13)</f>
        <v>7.3045</v>
      </c>
      <c r="I184" s="61">
        <f>7.3047 * CHOOSE(CONTROL!$C$22, $C$13, 100%, $E$13)</f>
        <v>7.3047000000000004</v>
      </c>
      <c r="J184" s="61">
        <f>3.7673 * CHOOSE(CONTROL!$C$22, $C$13, 100%, $E$13)</f>
        <v>3.7673000000000001</v>
      </c>
      <c r="K184" s="61">
        <f>3.7675 * CHOOSE(CONTROL!$C$22, $C$13, 100%, $E$13)</f>
        <v>3.7675000000000001</v>
      </c>
    </row>
    <row r="185" spans="1:11" ht="15">
      <c r="A185" s="13">
        <v>47484</v>
      </c>
      <c r="B185" s="60">
        <f>3.6254 * CHOOSE(CONTROL!$C$22, $C$13, 100%, $E$13)</f>
        <v>3.6254</v>
      </c>
      <c r="C185" s="60">
        <f>3.6254 * CHOOSE(CONTROL!$C$22, $C$13, 100%, $E$13)</f>
        <v>3.6254</v>
      </c>
      <c r="D185" s="60">
        <f>3.6442 * CHOOSE(CONTROL!$C$22, $C$13, 100%, $E$13)</f>
        <v>3.6442000000000001</v>
      </c>
      <c r="E185" s="61">
        <f>3.8175 * CHOOSE(CONTROL!$C$22, $C$13, 100%, $E$13)</f>
        <v>3.8174999999999999</v>
      </c>
      <c r="F185" s="61">
        <f>3.8175 * CHOOSE(CONTROL!$C$22, $C$13, 100%, $E$13)</f>
        <v>3.8174999999999999</v>
      </c>
      <c r="G185" s="61">
        <f>3.8177 * CHOOSE(CONTROL!$C$22, $C$13, 100%, $E$13)</f>
        <v>3.8176999999999999</v>
      </c>
      <c r="H185" s="61">
        <f>7.3197* CHOOSE(CONTROL!$C$22, $C$13, 100%, $E$13)</f>
        <v>7.3197000000000001</v>
      </c>
      <c r="I185" s="61">
        <f>7.3199 * CHOOSE(CONTROL!$C$22, $C$13, 100%, $E$13)</f>
        <v>7.3198999999999996</v>
      </c>
      <c r="J185" s="61">
        <f>3.8175 * CHOOSE(CONTROL!$C$22, $C$13, 100%, $E$13)</f>
        <v>3.8174999999999999</v>
      </c>
      <c r="K185" s="61">
        <f>3.8177 * CHOOSE(CONTROL!$C$22, $C$13, 100%, $E$13)</f>
        <v>3.8176999999999999</v>
      </c>
    </row>
    <row r="186" spans="1:11" ht="15">
      <c r="A186" s="13">
        <v>47515</v>
      </c>
      <c r="B186" s="60">
        <f>3.6224 * CHOOSE(CONTROL!$C$22, $C$13, 100%, $E$13)</f>
        <v>3.6223999999999998</v>
      </c>
      <c r="C186" s="60">
        <f>3.6224 * CHOOSE(CONTROL!$C$22, $C$13, 100%, $E$13)</f>
        <v>3.6223999999999998</v>
      </c>
      <c r="D186" s="60">
        <f>3.6412 * CHOOSE(CONTROL!$C$22, $C$13, 100%, $E$13)</f>
        <v>3.6412</v>
      </c>
      <c r="E186" s="61">
        <f>3.7611 * CHOOSE(CONTROL!$C$22, $C$13, 100%, $E$13)</f>
        <v>3.7610999999999999</v>
      </c>
      <c r="F186" s="61">
        <f>3.7611 * CHOOSE(CONTROL!$C$22, $C$13, 100%, $E$13)</f>
        <v>3.7610999999999999</v>
      </c>
      <c r="G186" s="61">
        <f>3.7612 * CHOOSE(CONTROL!$C$22, $C$13, 100%, $E$13)</f>
        <v>3.7612000000000001</v>
      </c>
      <c r="H186" s="61">
        <f>7.335* CHOOSE(CONTROL!$C$22, $C$13, 100%, $E$13)</f>
        <v>7.335</v>
      </c>
      <c r="I186" s="61">
        <f>7.3351 * CHOOSE(CONTROL!$C$22, $C$13, 100%, $E$13)</f>
        <v>7.3350999999999997</v>
      </c>
      <c r="J186" s="61">
        <f>3.7611 * CHOOSE(CONTROL!$C$22, $C$13, 100%, $E$13)</f>
        <v>3.7610999999999999</v>
      </c>
      <c r="K186" s="61">
        <f>3.7612 * CHOOSE(CONTROL!$C$22, $C$13, 100%, $E$13)</f>
        <v>3.7612000000000001</v>
      </c>
    </row>
    <row r="187" spans="1:11" ht="15">
      <c r="A187" s="13">
        <v>47543</v>
      </c>
      <c r="B187" s="60">
        <f>3.6193 * CHOOSE(CONTROL!$C$22, $C$13, 100%, $E$13)</f>
        <v>3.6193</v>
      </c>
      <c r="C187" s="60">
        <f>3.6193 * CHOOSE(CONTROL!$C$22, $C$13, 100%, $E$13)</f>
        <v>3.6193</v>
      </c>
      <c r="D187" s="60">
        <f>3.6381 * CHOOSE(CONTROL!$C$22, $C$13, 100%, $E$13)</f>
        <v>3.6381000000000001</v>
      </c>
      <c r="E187" s="61">
        <f>3.8018 * CHOOSE(CONTROL!$C$22, $C$13, 100%, $E$13)</f>
        <v>3.8018000000000001</v>
      </c>
      <c r="F187" s="61">
        <f>3.8018 * CHOOSE(CONTROL!$C$22, $C$13, 100%, $E$13)</f>
        <v>3.8018000000000001</v>
      </c>
      <c r="G187" s="61">
        <f>3.802 * CHOOSE(CONTROL!$C$22, $C$13, 100%, $E$13)</f>
        <v>3.802</v>
      </c>
      <c r="H187" s="61">
        <f>7.3503* CHOOSE(CONTROL!$C$22, $C$13, 100%, $E$13)</f>
        <v>7.3502999999999998</v>
      </c>
      <c r="I187" s="61">
        <f>7.3504 * CHOOSE(CONTROL!$C$22, $C$13, 100%, $E$13)</f>
        <v>7.3503999999999996</v>
      </c>
      <c r="J187" s="61">
        <f>3.8018 * CHOOSE(CONTROL!$C$22, $C$13, 100%, $E$13)</f>
        <v>3.8018000000000001</v>
      </c>
      <c r="K187" s="61">
        <f>3.802 * CHOOSE(CONTROL!$C$22, $C$13, 100%, $E$13)</f>
        <v>3.802</v>
      </c>
    </row>
    <row r="188" spans="1:11" ht="15">
      <c r="A188" s="13">
        <v>47574</v>
      </c>
      <c r="B188" s="60">
        <f>3.6166 * CHOOSE(CONTROL!$C$22, $C$13, 100%, $E$13)</f>
        <v>3.6166</v>
      </c>
      <c r="C188" s="60">
        <f>3.6166 * CHOOSE(CONTROL!$C$22, $C$13, 100%, $E$13)</f>
        <v>3.6166</v>
      </c>
      <c r="D188" s="60">
        <f>3.6354 * CHOOSE(CONTROL!$C$22, $C$13, 100%, $E$13)</f>
        <v>3.6354000000000002</v>
      </c>
      <c r="E188" s="61">
        <f>3.8436 * CHOOSE(CONTROL!$C$22, $C$13, 100%, $E$13)</f>
        <v>3.8435999999999999</v>
      </c>
      <c r="F188" s="61">
        <f>3.8436 * CHOOSE(CONTROL!$C$22, $C$13, 100%, $E$13)</f>
        <v>3.8435999999999999</v>
      </c>
      <c r="G188" s="61">
        <f>3.8437 * CHOOSE(CONTROL!$C$22, $C$13, 100%, $E$13)</f>
        <v>3.8437000000000001</v>
      </c>
      <c r="H188" s="61">
        <f>7.3656* CHOOSE(CONTROL!$C$22, $C$13, 100%, $E$13)</f>
        <v>7.3655999999999997</v>
      </c>
      <c r="I188" s="61">
        <f>7.3657 * CHOOSE(CONTROL!$C$22, $C$13, 100%, $E$13)</f>
        <v>7.3657000000000004</v>
      </c>
      <c r="J188" s="61">
        <f>3.8436 * CHOOSE(CONTROL!$C$22, $C$13, 100%, $E$13)</f>
        <v>3.8435999999999999</v>
      </c>
      <c r="K188" s="61">
        <f>3.8437 * CHOOSE(CONTROL!$C$22, $C$13, 100%, $E$13)</f>
        <v>3.8437000000000001</v>
      </c>
    </row>
    <row r="189" spans="1:11" ht="15">
      <c r="A189" s="13">
        <v>47604</v>
      </c>
      <c r="B189" s="60">
        <f>3.6166 * CHOOSE(CONTROL!$C$22, $C$13, 100%, $E$13)</f>
        <v>3.6166</v>
      </c>
      <c r="C189" s="60">
        <f>3.6166 * CHOOSE(CONTROL!$C$22, $C$13, 100%, $E$13)</f>
        <v>3.6166</v>
      </c>
      <c r="D189" s="60">
        <f>3.6543 * CHOOSE(CONTROL!$C$22, $C$13, 100%, $E$13)</f>
        <v>3.6543000000000001</v>
      </c>
      <c r="E189" s="61">
        <f>3.8608 * CHOOSE(CONTROL!$C$22, $C$13, 100%, $E$13)</f>
        <v>3.8607999999999998</v>
      </c>
      <c r="F189" s="61">
        <f>3.8608 * CHOOSE(CONTROL!$C$22, $C$13, 100%, $E$13)</f>
        <v>3.8607999999999998</v>
      </c>
      <c r="G189" s="61">
        <f>3.8631 * CHOOSE(CONTROL!$C$22, $C$13, 100%, $E$13)</f>
        <v>3.8631000000000002</v>
      </c>
      <c r="H189" s="61">
        <f>7.3809* CHOOSE(CONTROL!$C$22, $C$13, 100%, $E$13)</f>
        <v>7.3808999999999996</v>
      </c>
      <c r="I189" s="61">
        <f>7.3832 * CHOOSE(CONTROL!$C$22, $C$13, 100%, $E$13)</f>
        <v>7.3832000000000004</v>
      </c>
      <c r="J189" s="61">
        <f>3.8608 * CHOOSE(CONTROL!$C$22, $C$13, 100%, $E$13)</f>
        <v>3.8607999999999998</v>
      </c>
      <c r="K189" s="61">
        <f>3.8631 * CHOOSE(CONTROL!$C$22, $C$13, 100%, $E$13)</f>
        <v>3.8631000000000002</v>
      </c>
    </row>
    <row r="190" spans="1:11" ht="15">
      <c r="A190" s="13">
        <v>47635</v>
      </c>
      <c r="B190" s="60">
        <f>3.6227 * CHOOSE(CONTROL!$C$22, $C$13, 100%, $E$13)</f>
        <v>3.6227</v>
      </c>
      <c r="C190" s="60">
        <f>3.6227 * CHOOSE(CONTROL!$C$22, $C$13, 100%, $E$13)</f>
        <v>3.6227</v>
      </c>
      <c r="D190" s="60">
        <f>3.6603 * CHOOSE(CONTROL!$C$22, $C$13, 100%, $E$13)</f>
        <v>3.6602999999999999</v>
      </c>
      <c r="E190" s="61">
        <f>3.8478 * CHOOSE(CONTROL!$C$22, $C$13, 100%, $E$13)</f>
        <v>3.8477999999999999</v>
      </c>
      <c r="F190" s="61">
        <f>3.8478 * CHOOSE(CONTROL!$C$22, $C$13, 100%, $E$13)</f>
        <v>3.8477999999999999</v>
      </c>
      <c r="G190" s="61">
        <f>3.8501 * CHOOSE(CONTROL!$C$22, $C$13, 100%, $E$13)</f>
        <v>3.8500999999999999</v>
      </c>
      <c r="H190" s="61">
        <f>7.3963* CHOOSE(CONTROL!$C$22, $C$13, 100%, $E$13)</f>
        <v>7.3963000000000001</v>
      </c>
      <c r="I190" s="61">
        <f>7.3986 * CHOOSE(CONTROL!$C$22, $C$13, 100%, $E$13)</f>
        <v>7.3986000000000001</v>
      </c>
      <c r="J190" s="61">
        <f>3.8478 * CHOOSE(CONTROL!$C$22, $C$13, 100%, $E$13)</f>
        <v>3.8477999999999999</v>
      </c>
      <c r="K190" s="61">
        <f>3.8501 * CHOOSE(CONTROL!$C$22, $C$13, 100%, $E$13)</f>
        <v>3.8500999999999999</v>
      </c>
    </row>
    <row r="191" spans="1:11" ht="15">
      <c r="A191" s="13">
        <v>47665</v>
      </c>
      <c r="B191" s="60">
        <f>3.6908 * CHOOSE(CONTROL!$C$22, $C$13, 100%, $E$13)</f>
        <v>3.6907999999999999</v>
      </c>
      <c r="C191" s="60">
        <f>3.6908 * CHOOSE(CONTROL!$C$22, $C$13, 100%, $E$13)</f>
        <v>3.6907999999999999</v>
      </c>
      <c r="D191" s="60">
        <f>3.7284 * CHOOSE(CONTROL!$C$22, $C$13, 100%, $E$13)</f>
        <v>3.7284000000000002</v>
      </c>
      <c r="E191" s="61">
        <f>3.9043 * CHOOSE(CONTROL!$C$22, $C$13, 100%, $E$13)</f>
        <v>3.9043000000000001</v>
      </c>
      <c r="F191" s="61">
        <f>3.9043 * CHOOSE(CONTROL!$C$22, $C$13, 100%, $E$13)</f>
        <v>3.9043000000000001</v>
      </c>
      <c r="G191" s="61">
        <f>3.9066 * CHOOSE(CONTROL!$C$22, $C$13, 100%, $E$13)</f>
        <v>3.9066000000000001</v>
      </c>
      <c r="H191" s="61">
        <f>7.4117* CHOOSE(CONTROL!$C$22, $C$13, 100%, $E$13)</f>
        <v>7.4116999999999997</v>
      </c>
      <c r="I191" s="61">
        <f>7.414 * CHOOSE(CONTROL!$C$22, $C$13, 100%, $E$13)</f>
        <v>7.4139999999999997</v>
      </c>
      <c r="J191" s="61">
        <f>3.9043 * CHOOSE(CONTROL!$C$22, $C$13, 100%, $E$13)</f>
        <v>3.9043000000000001</v>
      </c>
      <c r="K191" s="61">
        <f>3.9066 * CHOOSE(CONTROL!$C$22, $C$13, 100%, $E$13)</f>
        <v>3.9066000000000001</v>
      </c>
    </row>
    <row r="192" spans="1:11" ht="15">
      <c r="A192" s="13">
        <v>47696</v>
      </c>
      <c r="B192" s="60">
        <f>3.6975 * CHOOSE(CONTROL!$C$22, $C$13, 100%, $E$13)</f>
        <v>3.6974999999999998</v>
      </c>
      <c r="C192" s="60">
        <f>3.6975 * CHOOSE(CONTROL!$C$22, $C$13, 100%, $E$13)</f>
        <v>3.6974999999999998</v>
      </c>
      <c r="D192" s="60">
        <f>3.7351 * CHOOSE(CONTROL!$C$22, $C$13, 100%, $E$13)</f>
        <v>3.7351000000000001</v>
      </c>
      <c r="E192" s="61">
        <f>3.8572 * CHOOSE(CONTROL!$C$22, $C$13, 100%, $E$13)</f>
        <v>3.8572000000000002</v>
      </c>
      <c r="F192" s="61">
        <f>3.8572 * CHOOSE(CONTROL!$C$22, $C$13, 100%, $E$13)</f>
        <v>3.8572000000000002</v>
      </c>
      <c r="G192" s="61">
        <f>3.8595 * CHOOSE(CONTROL!$C$22, $C$13, 100%, $E$13)</f>
        <v>3.8595000000000002</v>
      </c>
      <c r="H192" s="61">
        <f>7.4271* CHOOSE(CONTROL!$C$22, $C$13, 100%, $E$13)</f>
        <v>7.4271000000000003</v>
      </c>
      <c r="I192" s="61">
        <f>7.4295 * CHOOSE(CONTROL!$C$22, $C$13, 100%, $E$13)</f>
        <v>7.4295</v>
      </c>
      <c r="J192" s="61">
        <f>3.8572 * CHOOSE(CONTROL!$C$22, $C$13, 100%, $E$13)</f>
        <v>3.8572000000000002</v>
      </c>
      <c r="K192" s="61">
        <f>3.8595 * CHOOSE(CONTROL!$C$22, $C$13, 100%, $E$13)</f>
        <v>3.8595000000000002</v>
      </c>
    </row>
    <row r="193" spans="1:11" ht="15">
      <c r="A193" s="13">
        <v>47727</v>
      </c>
      <c r="B193" s="60">
        <f>3.6945 * CHOOSE(CONTROL!$C$22, $C$13, 100%, $E$13)</f>
        <v>3.6945000000000001</v>
      </c>
      <c r="C193" s="60">
        <f>3.6945 * CHOOSE(CONTROL!$C$22, $C$13, 100%, $E$13)</f>
        <v>3.6945000000000001</v>
      </c>
      <c r="D193" s="60">
        <f>3.7321 * CHOOSE(CONTROL!$C$22, $C$13, 100%, $E$13)</f>
        <v>3.7321</v>
      </c>
      <c r="E193" s="61">
        <f>3.8493 * CHOOSE(CONTROL!$C$22, $C$13, 100%, $E$13)</f>
        <v>3.8492999999999999</v>
      </c>
      <c r="F193" s="61">
        <f>3.8493 * CHOOSE(CONTROL!$C$22, $C$13, 100%, $E$13)</f>
        <v>3.8492999999999999</v>
      </c>
      <c r="G193" s="61">
        <f>3.8516 * CHOOSE(CONTROL!$C$22, $C$13, 100%, $E$13)</f>
        <v>3.8515999999999999</v>
      </c>
      <c r="H193" s="61">
        <f>7.4426* CHOOSE(CONTROL!$C$22, $C$13, 100%, $E$13)</f>
        <v>7.4425999999999997</v>
      </c>
      <c r="I193" s="61">
        <f>7.4449 * CHOOSE(CONTROL!$C$22, $C$13, 100%, $E$13)</f>
        <v>7.4448999999999996</v>
      </c>
      <c r="J193" s="61">
        <f>3.8493 * CHOOSE(CONTROL!$C$22, $C$13, 100%, $E$13)</f>
        <v>3.8492999999999999</v>
      </c>
      <c r="K193" s="61">
        <f>3.8516 * CHOOSE(CONTROL!$C$22, $C$13, 100%, $E$13)</f>
        <v>3.8515999999999999</v>
      </c>
    </row>
    <row r="194" spans="1:11" ht="15">
      <c r="A194" s="13">
        <v>47757</v>
      </c>
      <c r="B194" s="60">
        <f>3.6884 * CHOOSE(CONTROL!$C$22, $C$13, 100%, $E$13)</f>
        <v>3.6884000000000001</v>
      </c>
      <c r="C194" s="60">
        <f>3.6884 * CHOOSE(CONTROL!$C$22, $C$13, 100%, $E$13)</f>
        <v>3.6884000000000001</v>
      </c>
      <c r="D194" s="60">
        <f>3.7072 * CHOOSE(CONTROL!$C$22, $C$13, 100%, $E$13)</f>
        <v>3.7071999999999998</v>
      </c>
      <c r="E194" s="61">
        <f>3.8589 * CHOOSE(CONTROL!$C$22, $C$13, 100%, $E$13)</f>
        <v>3.8589000000000002</v>
      </c>
      <c r="F194" s="61">
        <f>3.8589 * CHOOSE(CONTROL!$C$22, $C$13, 100%, $E$13)</f>
        <v>3.8589000000000002</v>
      </c>
      <c r="G194" s="61">
        <f>3.8591 * CHOOSE(CONTROL!$C$22, $C$13, 100%, $E$13)</f>
        <v>3.8591000000000002</v>
      </c>
      <c r="H194" s="61">
        <f>7.4581* CHOOSE(CONTROL!$C$22, $C$13, 100%, $E$13)</f>
        <v>7.4581</v>
      </c>
      <c r="I194" s="61">
        <f>7.4583 * CHOOSE(CONTROL!$C$22, $C$13, 100%, $E$13)</f>
        <v>7.4583000000000004</v>
      </c>
      <c r="J194" s="61">
        <f>3.8589 * CHOOSE(CONTROL!$C$22, $C$13, 100%, $E$13)</f>
        <v>3.8589000000000002</v>
      </c>
      <c r="K194" s="61">
        <f>3.8591 * CHOOSE(CONTROL!$C$22, $C$13, 100%, $E$13)</f>
        <v>3.8591000000000002</v>
      </c>
    </row>
    <row r="195" spans="1:11" ht="15">
      <c r="A195" s="13">
        <v>47788</v>
      </c>
      <c r="B195" s="60">
        <f>3.6915 * CHOOSE(CONTROL!$C$22, $C$13, 100%, $E$13)</f>
        <v>3.6915</v>
      </c>
      <c r="C195" s="60">
        <f>3.6915 * CHOOSE(CONTROL!$C$22, $C$13, 100%, $E$13)</f>
        <v>3.6915</v>
      </c>
      <c r="D195" s="60">
        <f>3.7103 * CHOOSE(CONTROL!$C$22, $C$13, 100%, $E$13)</f>
        <v>3.7103000000000002</v>
      </c>
      <c r="E195" s="61">
        <f>3.8725 * CHOOSE(CONTROL!$C$22, $C$13, 100%, $E$13)</f>
        <v>3.8725000000000001</v>
      </c>
      <c r="F195" s="61">
        <f>3.8725 * CHOOSE(CONTROL!$C$22, $C$13, 100%, $E$13)</f>
        <v>3.8725000000000001</v>
      </c>
      <c r="G195" s="61">
        <f>3.8727 * CHOOSE(CONTROL!$C$22, $C$13, 100%, $E$13)</f>
        <v>3.8727</v>
      </c>
      <c r="H195" s="61">
        <f>7.4737* CHOOSE(CONTROL!$C$22, $C$13, 100%, $E$13)</f>
        <v>7.4737</v>
      </c>
      <c r="I195" s="61">
        <f>7.4738 * CHOOSE(CONTROL!$C$22, $C$13, 100%, $E$13)</f>
        <v>7.4737999999999998</v>
      </c>
      <c r="J195" s="61">
        <f>3.8725 * CHOOSE(CONTROL!$C$22, $C$13, 100%, $E$13)</f>
        <v>3.8725000000000001</v>
      </c>
      <c r="K195" s="61">
        <f>3.8727 * CHOOSE(CONTROL!$C$22, $C$13, 100%, $E$13)</f>
        <v>3.8727</v>
      </c>
    </row>
    <row r="196" spans="1:11" ht="15">
      <c r="A196" s="13">
        <v>47818</v>
      </c>
      <c r="B196" s="60">
        <f>3.6915 * CHOOSE(CONTROL!$C$22, $C$13, 100%, $E$13)</f>
        <v>3.6915</v>
      </c>
      <c r="C196" s="60">
        <f>3.6915 * CHOOSE(CONTROL!$C$22, $C$13, 100%, $E$13)</f>
        <v>3.6915</v>
      </c>
      <c r="D196" s="60">
        <f>3.7103 * CHOOSE(CONTROL!$C$22, $C$13, 100%, $E$13)</f>
        <v>3.7103000000000002</v>
      </c>
      <c r="E196" s="61">
        <f>3.8438 * CHOOSE(CONTROL!$C$22, $C$13, 100%, $E$13)</f>
        <v>3.8437999999999999</v>
      </c>
      <c r="F196" s="61">
        <f>3.8438 * CHOOSE(CONTROL!$C$22, $C$13, 100%, $E$13)</f>
        <v>3.8437999999999999</v>
      </c>
      <c r="G196" s="61">
        <f>3.8439 * CHOOSE(CONTROL!$C$22, $C$13, 100%, $E$13)</f>
        <v>3.8439000000000001</v>
      </c>
      <c r="H196" s="61">
        <f>7.4892* CHOOSE(CONTROL!$C$22, $C$13, 100%, $E$13)</f>
        <v>7.4892000000000003</v>
      </c>
      <c r="I196" s="61">
        <f>7.4894 * CHOOSE(CONTROL!$C$22, $C$13, 100%, $E$13)</f>
        <v>7.4893999999999998</v>
      </c>
      <c r="J196" s="61">
        <f>3.8438 * CHOOSE(CONTROL!$C$22, $C$13, 100%, $E$13)</f>
        <v>3.8437999999999999</v>
      </c>
      <c r="K196" s="61">
        <f>3.8439 * CHOOSE(CONTROL!$C$22, $C$13, 100%, $E$13)</f>
        <v>3.8439000000000001</v>
      </c>
    </row>
    <row r="197" spans="1:11" ht="15">
      <c r="A197" s="13">
        <v>47849</v>
      </c>
      <c r="B197" s="60">
        <f>3.7181 * CHOOSE(CONTROL!$C$22, $C$13, 100%, $E$13)</f>
        <v>3.7181000000000002</v>
      </c>
      <c r="C197" s="60">
        <f>3.7181 * CHOOSE(CONTROL!$C$22, $C$13, 100%, $E$13)</f>
        <v>3.7181000000000002</v>
      </c>
      <c r="D197" s="60">
        <f>3.7369 * CHOOSE(CONTROL!$C$22, $C$13, 100%, $E$13)</f>
        <v>3.7368999999999999</v>
      </c>
      <c r="E197" s="61">
        <f>3.9078 * CHOOSE(CONTROL!$C$22, $C$13, 100%, $E$13)</f>
        <v>3.9077999999999999</v>
      </c>
      <c r="F197" s="61">
        <f>3.9078 * CHOOSE(CONTROL!$C$22, $C$13, 100%, $E$13)</f>
        <v>3.9077999999999999</v>
      </c>
      <c r="G197" s="61">
        <f>3.908 * CHOOSE(CONTROL!$C$22, $C$13, 100%, $E$13)</f>
        <v>3.9079999999999999</v>
      </c>
      <c r="H197" s="61">
        <f>7.5048* CHOOSE(CONTROL!$C$22, $C$13, 100%, $E$13)</f>
        <v>7.5048000000000004</v>
      </c>
      <c r="I197" s="61">
        <f>7.505 * CHOOSE(CONTROL!$C$22, $C$13, 100%, $E$13)</f>
        <v>7.5049999999999999</v>
      </c>
      <c r="J197" s="61">
        <f>3.9078 * CHOOSE(CONTROL!$C$22, $C$13, 100%, $E$13)</f>
        <v>3.9077999999999999</v>
      </c>
      <c r="K197" s="61">
        <f>3.908 * CHOOSE(CONTROL!$C$22, $C$13, 100%, $E$13)</f>
        <v>3.9079999999999999</v>
      </c>
    </row>
    <row r="198" spans="1:11" ht="15">
      <c r="A198" s="13">
        <v>47880</v>
      </c>
      <c r="B198" s="60">
        <f>3.715 * CHOOSE(CONTROL!$C$22, $C$13, 100%, $E$13)</f>
        <v>3.7149999999999999</v>
      </c>
      <c r="C198" s="60">
        <f>3.715 * CHOOSE(CONTROL!$C$22, $C$13, 100%, $E$13)</f>
        <v>3.7149999999999999</v>
      </c>
      <c r="D198" s="60">
        <f>3.7339 * CHOOSE(CONTROL!$C$22, $C$13, 100%, $E$13)</f>
        <v>3.7339000000000002</v>
      </c>
      <c r="E198" s="61">
        <f>3.8497 * CHOOSE(CONTROL!$C$22, $C$13, 100%, $E$13)</f>
        <v>3.8496999999999999</v>
      </c>
      <c r="F198" s="61">
        <f>3.8497 * CHOOSE(CONTROL!$C$22, $C$13, 100%, $E$13)</f>
        <v>3.8496999999999999</v>
      </c>
      <c r="G198" s="61">
        <f>3.8498 * CHOOSE(CONTROL!$C$22, $C$13, 100%, $E$13)</f>
        <v>3.8498000000000001</v>
      </c>
      <c r="H198" s="61">
        <f>7.5205* CHOOSE(CONTROL!$C$22, $C$13, 100%, $E$13)</f>
        <v>7.5205000000000002</v>
      </c>
      <c r="I198" s="61">
        <f>7.5206 * CHOOSE(CONTROL!$C$22, $C$13, 100%, $E$13)</f>
        <v>7.5206</v>
      </c>
      <c r="J198" s="61">
        <f>3.8497 * CHOOSE(CONTROL!$C$22, $C$13, 100%, $E$13)</f>
        <v>3.8496999999999999</v>
      </c>
      <c r="K198" s="61">
        <f>3.8498 * CHOOSE(CONTROL!$C$22, $C$13, 100%, $E$13)</f>
        <v>3.8498000000000001</v>
      </c>
    </row>
    <row r="199" spans="1:11" ht="15">
      <c r="A199" s="13">
        <v>47908</v>
      </c>
      <c r="B199" s="60">
        <f>3.712 * CHOOSE(CONTROL!$C$22, $C$13, 100%, $E$13)</f>
        <v>3.7120000000000002</v>
      </c>
      <c r="C199" s="60">
        <f>3.712 * CHOOSE(CONTROL!$C$22, $C$13, 100%, $E$13)</f>
        <v>3.7120000000000002</v>
      </c>
      <c r="D199" s="60">
        <f>3.7308 * CHOOSE(CONTROL!$C$22, $C$13, 100%, $E$13)</f>
        <v>3.7307999999999999</v>
      </c>
      <c r="E199" s="61">
        <f>3.8917 * CHOOSE(CONTROL!$C$22, $C$13, 100%, $E$13)</f>
        <v>3.8917000000000002</v>
      </c>
      <c r="F199" s="61">
        <f>3.8917 * CHOOSE(CONTROL!$C$22, $C$13, 100%, $E$13)</f>
        <v>3.8917000000000002</v>
      </c>
      <c r="G199" s="61">
        <f>3.8919 * CHOOSE(CONTROL!$C$22, $C$13, 100%, $E$13)</f>
        <v>3.8919000000000001</v>
      </c>
      <c r="H199" s="61">
        <f>7.5361* CHOOSE(CONTROL!$C$22, $C$13, 100%, $E$13)</f>
        <v>7.5361000000000002</v>
      </c>
      <c r="I199" s="61">
        <f>7.5363 * CHOOSE(CONTROL!$C$22, $C$13, 100%, $E$13)</f>
        <v>7.5362999999999998</v>
      </c>
      <c r="J199" s="61">
        <f>3.8917 * CHOOSE(CONTROL!$C$22, $C$13, 100%, $E$13)</f>
        <v>3.8917000000000002</v>
      </c>
      <c r="K199" s="61">
        <f>3.8919 * CHOOSE(CONTROL!$C$22, $C$13, 100%, $E$13)</f>
        <v>3.8919000000000001</v>
      </c>
    </row>
    <row r="200" spans="1:11" ht="15">
      <c r="A200" s="13">
        <v>47939</v>
      </c>
      <c r="B200" s="60">
        <f>3.7094 * CHOOSE(CONTROL!$C$22, $C$13, 100%, $E$13)</f>
        <v>3.7094</v>
      </c>
      <c r="C200" s="60">
        <f>3.7094 * CHOOSE(CONTROL!$C$22, $C$13, 100%, $E$13)</f>
        <v>3.7094</v>
      </c>
      <c r="D200" s="60">
        <f>3.7282 * CHOOSE(CONTROL!$C$22, $C$13, 100%, $E$13)</f>
        <v>3.7282000000000002</v>
      </c>
      <c r="E200" s="61">
        <f>3.9349 * CHOOSE(CONTROL!$C$22, $C$13, 100%, $E$13)</f>
        <v>3.9348999999999998</v>
      </c>
      <c r="F200" s="61">
        <f>3.9349 * CHOOSE(CONTROL!$C$22, $C$13, 100%, $E$13)</f>
        <v>3.9348999999999998</v>
      </c>
      <c r="G200" s="61">
        <f>3.9351 * CHOOSE(CONTROL!$C$22, $C$13, 100%, $E$13)</f>
        <v>3.9350999999999998</v>
      </c>
      <c r="H200" s="61">
        <f>7.5518* CHOOSE(CONTROL!$C$22, $C$13, 100%, $E$13)</f>
        <v>7.5518000000000001</v>
      </c>
      <c r="I200" s="61">
        <f>7.552 * CHOOSE(CONTROL!$C$22, $C$13, 100%, $E$13)</f>
        <v>7.5519999999999996</v>
      </c>
      <c r="J200" s="61">
        <f>3.9349 * CHOOSE(CONTROL!$C$22, $C$13, 100%, $E$13)</f>
        <v>3.9348999999999998</v>
      </c>
      <c r="K200" s="61">
        <f>3.9351 * CHOOSE(CONTROL!$C$22, $C$13, 100%, $E$13)</f>
        <v>3.9350999999999998</v>
      </c>
    </row>
    <row r="201" spans="1:11" ht="15">
      <c r="A201" s="13">
        <v>47969</v>
      </c>
      <c r="B201" s="60">
        <f>3.7094 * CHOOSE(CONTROL!$C$22, $C$13, 100%, $E$13)</f>
        <v>3.7094</v>
      </c>
      <c r="C201" s="60">
        <f>3.7094 * CHOOSE(CONTROL!$C$22, $C$13, 100%, $E$13)</f>
        <v>3.7094</v>
      </c>
      <c r="D201" s="60">
        <f>3.747 * CHOOSE(CONTROL!$C$22, $C$13, 100%, $E$13)</f>
        <v>3.7469999999999999</v>
      </c>
      <c r="E201" s="61">
        <f>3.9527 * CHOOSE(CONTROL!$C$22, $C$13, 100%, $E$13)</f>
        <v>3.9527000000000001</v>
      </c>
      <c r="F201" s="61">
        <f>3.9527 * CHOOSE(CONTROL!$C$22, $C$13, 100%, $E$13)</f>
        <v>3.9527000000000001</v>
      </c>
      <c r="G201" s="61">
        <f>3.9551 * CHOOSE(CONTROL!$C$22, $C$13, 100%, $E$13)</f>
        <v>3.9550999999999998</v>
      </c>
      <c r="H201" s="61">
        <f>7.5676* CHOOSE(CONTROL!$C$22, $C$13, 100%, $E$13)</f>
        <v>7.5675999999999997</v>
      </c>
      <c r="I201" s="61">
        <f>7.5699 * CHOOSE(CONTROL!$C$22, $C$13, 100%, $E$13)</f>
        <v>7.5698999999999996</v>
      </c>
      <c r="J201" s="61">
        <f>3.9527 * CHOOSE(CONTROL!$C$22, $C$13, 100%, $E$13)</f>
        <v>3.9527000000000001</v>
      </c>
      <c r="K201" s="61">
        <f>3.9551 * CHOOSE(CONTROL!$C$22, $C$13, 100%, $E$13)</f>
        <v>3.9550999999999998</v>
      </c>
    </row>
    <row r="202" spans="1:11" ht="15">
      <c r="A202" s="13">
        <v>48000</v>
      </c>
      <c r="B202" s="60">
        <f>3.7155 * CHOOSE(CONTROL!$C$22, $C$13, 100%, $E$13)</f>
        <v>3.7155</v>
      </c>
      <c r="C202" s="60">
        <f>3.7155 * CHOOSE(CONTROL!$C$22, $C$13, 100%, $E$13)</f>
        <v>3.7155</v>
      </c>
      <c r="D202" s="60">
        <f>3.7531 * CHOOSE(CONTROL!$C$22, $C$13, 100%, $E$13)</f>
        <v>3.7530999999999999</v>
      </c>
      <c r="E202" s="61">
        <f>3.9392 * CHOOSE(CONTROL!$C$22, $C$13, 100%, $E$13)</f>
        <v>3.9392</v>
      </c>
      <c r="F202" s="61">
        <f>3.9392 * CHOOSE(CONTROL!$C$22, $C$13, 100%, $E$13)</f>
        <v>3.9392</v>
      </c>
      <c r="G202" s="61">
        <f>3.9415 * CHOOSE(CONTROL!$C$22, $C$13, 100%, $E$13)</f>
        <v>3.9415</v>
      </c>
      <c r="H202" s="61">
        <f>7.5833* CHOOSE(CONTROL!$C$22, $C$13, 100%, $E$13)</f>
        <v>7.5833000000000004</v>
      </c>
      <c r="I202" s="61">
        <f>7.5856 * CHOOSE(CONTROL!$C$22, $C$13, 100%, $E$13)</f>
        <v>7.5856000000000003</v>
      </c>
      <c r="J202" s="61">
        <f>3.9392 * CHOOSE(CONTROL!$C$22, $C$13, 100%, $E$13)</f>
        <v>3.9392</v>
      </c>
      <c r="K202" s="61">
        <f>3.9415 * CHOOSE(CONTROL!$C$22, $C$13, 100%, $E$13)</f>
        <v>3.9415</v>
      </c>
    </row>
    <row r="203" spans="1:11" ht="15">
      <c r="A203" s="13">
        <v>48030</v>
      </c>
      <c r="B203" s="60">
        <f>3.7619 * CHOOSE(CONTROL!$C$22, $C$13, 100%, $E$13)</f>
        <v>3.7618999999999998</v>
      </c>
      <c r="C203" s="60">
        <f>3.7619 * CHOOSE(CONTROL!$C$22, $C$13, 100%, $E$13)</f>
        <v>3.7618999999999998</v>
      </c>
      <c r="D203" s="60">
        <f>3.7995 * CHOOSE(CONTROL!$C$22, $C$13, 100%, $E$13)</f>
        <v>3.7995000000000001</v>
      </c>
      <c r="E203" s="61">
        <f>4.0315 * CHOOSE(CONTROL!$C$22, $C$13, 100%, $E$13)</f>
        <v>4.0315000000000003</v>
      </c>
      <c r="F203" s="61">
        <f>4.0315 * CHOOSE(CONTROL!$C$22, $C$13, 100%, $E$13)</f>
        <v>4.0315000000000003</v>
      </c>
      <c r="G203" s="61">
        <f>4.0339 * CHOOSE(CONTROL!$C$22, $C$13, 100%, $E$13)</f>
        <v>4.0339</v>
      </c>
      <c r="H203" s="61">
        <f>7.5991* CHOOSE(CONTROL!$C$22, $C$13, 100%, $E$13)</f>
        <v>7.5991</v>
      </c>
      <c r="I203" s="61">
        <f>7.6014 * CHOOSE(CONTROL!$C$22, $C$13, 100%, $E$13)</f>
        <v>7.6013999999999999</v>
      </c>
      <c r="J203" s="61">
        <f>4.0315 * CHOOSE(CONTROL!$C$22, $C$13, 100%, $E$13)</f>
        <v>4.0315000000000003</v>
      </c>
      <c r="K203" s="61">
        <f>4.0339 * CHOOSE(CONTROL!$C$22, $C$13, 100%, $E$13)</f>
        <v>4.0339</v>
      </c>
    </row>
    <row r="204" spans="1:11" ht="15">
      <c r="A204" s="13">
        <v>48061</v>
      </c>
      <c r="B204" s="60">
        <f>3.7686 * CHOOSE(CONTROL!$C$22, $C$13, 100%, $E$13)</f>
        <v>3.7686000000000002</v>
      </c>
      <c r="C204" s="60">
        <f>3.7686 * CHOOSE(CONTROL!$C$22, $C$13, 100%, $E$13)</f>
        <v>3.7686000000000002</v>
      </c>
      <c r="D204" s="60">
        <f>3.8062 * CHOOSE(CONTROL!$C$22, $C$13, 100%, $E$13)</f>
        <v>3.8062</v>
      </c>
      <c r="E204" s="61">
        <f>3.9828 * CHOOSE(CONTROL!$C$22, $C$13, 100%, $E$13)</f>
        <v>3.9828000000000001</v>
      </c>
      <c r="F204" s="61">
        <f>3.9828 * CHOOSE(CONTROL!$C$22, $C$13, 100%, $E$13)</f>
        <v>3.9828000000000001</v>
      </c>
      <c r="G204" s="61">
        <f>3.9851 * CHOOSE(CONTROL!$C$22, $C$13, 100%, $E$13)</f>
        <v>3.9851000000000001</v>
      </c>
      <c r="H204" s="61">
        <f>7.615* CHOOSE(CONTROL!$C$22, $C$13, 100%, $E$13)</f>
        <v>7.6150000000000002</v>
      </c>
      <c r="I204" s="61">
        <f>7.6173 * CHOOSE(CONTROL!$C$22, $C$13, 100%, $E$13)</f>
        <v>7.6173000000000002</v>
      </c>
      <c r="J204" s="61">
        <f>3.9828 * CHOOSE(CONTROL!$C$22, $C$13, 100%, $E$13)</f>
        <v>3.9828000000000001</v>
      </c>
      <c r="K204" s="61">
        <f>3.9851 * CHOOSE(CONTROL!$C$22, $C$13, 100%, $E$13)</f>
        <v>3.9851000000000001</v>
      </c>
    </row>
    <row r="205" spans="1:11" ht="15">
      <c r="A205" s="13">
        <v>48092</v>
      </c>
      <c r="B205" s="60">
        <f>3.7655 * CHOOSE(CONTROL!$C$22, $C$13, 100%, $E$13)</f>
        <v>3.7654999999999998</v>
      </c>
      <c r="C205" s="60">
        <f>3.7655 * CHOOSE(CONTROL!$C$22, $C$13, 100%, $E$13)</f>
        <v>3.7654999999999998</v>
      </c>
      <c r="D205" s="60">
        <f>3.8032 * CHOOSE(CONTROL!$C$22, $C$13, 100%, $E$13)</f>
        <v>3.8031999999999999</v>
      </c>
      <c r="E205" s="61">
        <f>3.9748 * CHOOSE(CONTROL!$C$22, $C$13, 100%, $E$13)</f>
        <v>3.9748000000000001</v>
      </c>
      <c r="F205" s="61">
        <f>3.9748 * CHOOSE(CONTROL!$C$22, $C$13, 100%, $E$13)</f>
        <v>3.9748000000000001</v>
      </c>
      <c r="G205" s="61">
        <f>3.9771 * CHOOSE(CONTROL!$C$22, $C$13, 100%, $E$13)</f>
        <v>3.9771000000000001</v>
      </c>
      <c r="H205" s="61">
        <f>7.6308* CHOOSE(CONTROL!$C$22, $C$13, 100%, $E$13)</f>
        <v>7.6307999999999998</v>
      </c>
      <c r="I205" s="61">
        <f>7.6331 * CHOOSE(CONTROL!$C$22, $C$13, 100%, $E$13)</f>
        <v>7.6330999999999998</v>
      </c>
      <c r="J205" s="61">
        <f>3.9748 * CHOOSE(CONTROL!$C$22, $C$13, 100%, $E$13)</f>
        <v>3.9748000000000001</v>
      </c>
      <c r="K205" s="61">
        <f>3.9771 * CHOOSE(CONTROL!$C$22, $C$13, 100%, $E$13)</f>
        <v>3.9771000000000001</v>
      </c>
    </row>
    <row r="206" spans="1:11" ht="15">
      <c r="A206" s="13">
        <v>48122</v>
      </c>
      <c r="B206" s="60">
        <f>3.7598 * CHOOSE(CONTROL!$C$22, $C$13, 100%, $E$13)</f>
        <v>3.7597999999999998</v>
      </c>
      <c r="C206" s="60">
        <f>3.7598 * CHOOSE(CONTROL!$C$22, $C$13, 100%, $E$13)</f>
        <v>3.7597999999999998</v>
      </c>
      <c r="D206" s="60">
        <f>3.7786 * CHOOSE(CONTROL!$C$22, $C$13, 100%, $E$13)</f>
        <v>3.7786</v>
      </c>
      <c r="E206" s="61">
        <f>3.9851 * CHOOSE(CONTROL!$C$22, $C$13, 100%, $E$13)</f>
        <v>3.9851000000000001</v>
      </c>
      <c r="F206" s="61">
        <f>3.9851 * CHOOSE(CONTROL!$C$22, $C$13, 100%, $E$13)</f>
        <v>3.9851000000000001</v>
      </c>
      <c r="G206" s="61">
        <f>3.9852 * CHOOSE(CONTROL!$C$22, $C$13, 100%, $E$13)</f>
        <v>3.9851999999999999</v>
      </c>
      <c r="H206" s="61">
        <f>7.6467* CHOOSE(CONTROL!$C$22, $C$13, 100%, $E$13)</f>
        <v>7.6467000000000001</v>
      </c>
      <c r="I206" s="61">
        <f>7.6469 * CHOOSE(CONTROL!$C$22, $C$13, 100%, $E$13)</f>
        <v>7.6468999999999996</v>
      </c>
      <c r="J206" s="61">
        <f>3.9851 * CHOOSE(CONTROL!$C$22, $C$13, 100%, $E$13)</f>
        <v>3.9851000000000001</v>
      </c>
      <c r="K206" s="61">
        <f>3.9852 * CHOOSE(CONTROL!$C$22, $C$13, 100%, $E$13)</f>
        <v>3.9851999999999999</v>
      </c>
    </row>
    <row r="207" spans="1:11" ht="15">
      <c r="A207" s="13">
        <v>48153</v>
      </c>
      <c r="B207" s="60">
        <f>3.7628 * CHOOSE(CONTROL!$C$22, $C$13, 100%, $E$13)</f>
        <v>3.7627999999999999</v>
      </c>
      <c r="C207" s="60">
        <f>3.7628 * CHOOSE(CONTROL!$C$22, $C$13, 100%, $E$13)</f>
        <v>3.7627999999999999</v>
      </c>
      <c r="D207" s="60">
        <f>3.7817 * CHOOSE(CONTROL!$C$22, $C$13, 100%, $E$13)</f>
        <v>3.7816999999999998</v>
      </c>
      <c r="E207" s="61">
        <f>3.9991 * CHOOSE(CONTROL!$C$22, $C$13, 100%, $E$13)</f>
        <v>3.9990999999999999</v>
      </c>
      <c r="F207" s="61">
        <f>3.9991 * CHOOSE(CONTROL!$C$22, $C$13, 100%, $E$13)</f>
        <v>3.9990999999999999</v>
      </c>
      <c r="G207" s="61">
        <f>3.9992 * CHOOSE(CONTROL!$C$22, $C$13, 100%, $E$13)</f>
        <v>3.9992000000000001</v>
      </c>
      <c r="H207" s="61">
        <f>7.6627* CHOOSE(CONTROL!$C$22, $C$13, 100%, $E$13)</f>
        <v>7.6627000000000001</v>
      </c>
      <c r="I207" s="61">
        <f>7.6628 * CHOOSE(CONTROL!$C$22, $C$13, 100%, $E$13)</f>
        <v>7.6627999999999998</v>
      </c>
      <c r="J207" s="61">
        <f>3.9991 * CHOOSE(CONTROL!$C$22, $C$13, 100%, $E$13)</f>
        <v>3.9990999999999999</v>
      </c>
      <c r="K207" s="61">
        <f>3.9992 * CHOOSE(CONTROL!$C$22, $C$13, 100%, $E$13)</f>
        <v>3.9992000000000001</v>
      </c>
    </row>
    <row r="208" spans="1:11" ht="15">
      <c r="A208" s="13">
        <v>48183</v>
      </c>
      <c r="B208" s="60">
        <f>3.7628 * CHOOSE(CONTROL!$C$22, $C$13, 100%, $E$13)</f>
        <v>3.7627999999999999</v>
      </c>
      <c r="C208" s="60">
        <f>3.7628 * CHOOSE(CONTROL!$C$22, $C$13, 100%, $E$13)</f>
        <v>3.7627999999999999</v>
      </c>
      <c r="D208" s="60">
        <f>3.7817 * CHOOSE(CONTROL!$C$22, $C$13, 100%, $E$13)</f>
        <v>3.7816999999999998</v>
      </c>
      <c r="E208" s="61">
        <f>3.9694 * CHOOSE(CONTROL!$C$22, $C$13, 100%, $E$13)</f>
        <v>3.9693999999999998</v>
      </c>
      <c r="F208" s="61">
        <f>3.9694 * CHOOSE(CONTROL!$C$22, $C$13, 100%, $E$13)</f>
        <v>3.9693999999999998</v>
      </c>
      <c r="G208" s="61">
        <f>3.9696 * CHOOSE(CONTROL!$C$22, $C$13, 100%, $E$13)</f>
        <v>3.9695999999999998</v>
      </c>
      <c r="H208" s="61">
        <f>7.6786* CHOOSE(CONTROL!$C$22, $C$13, 100%, $E$13)</f>
        <v>7.6786000000000003</v>
      </c>
      <c r="I208" s="61">
        <f>7.6788 * CHOOSE(CONTROL!$C$22, $C$13, 100%, $E$13)</f>
        <v>7.6787999999999998</v>
      </c>
      <c r="J208" s="61">
        <f>3.9694 * CHOOSE(CONTROL!$C$22, $C$13, 100%, $E$13)</f>
        <v>3.9693999999999998</v>
      </c>
      <c r="K208" s="61">
        <f>3.9696 * CHOOSE(CONTROL!$C$22, $C$13, 100%, $E$13)</f>
        <v>3.9695999999999998</v>
      </c>
    </row>
    <row r="209" spans="1:11" ht="15">
      <c r="A209" s="13">
        <v>48214</v>
      </c>
      <c r="B209" s="60">
        <f>3.7955 * CHOOSE(CONTROL!$C$22, $C$13, 100%, $E$13)</f>
        <v>3.7955000000000001</v>
      </c>
      <c r="C209" s="60">
        <f>3.7955 * CHOOSE(CONTROL!$C$22, $C$13, 100%, $E$13)</f>
        <v>3.7955000000000001</v>
      </c>
      <c r="D209" s="60">
        <f>3.8143 * CHOOSE(CONTROL!$C$22, $C$13, 100%, $E$13)</f>
        <v>3.8142999999999998</v>
      </c>
      <c r="E209" s="61">
        <f>4.0264 * CHOOSE(CONTROL!$C$22, $C$13, 100%, $E$13)</f>
        <v>4.0263999999999998</v>
      </c>
      <c r="F209" s="61">
        <f>4.0264 * CHOOSE(CONTROL!$C$22, $C$13, 100%, $E$13)</f>
        <v>4.0263999999999998</v>
      </c>
      <c r="G209" s="61">
        <f>4.0266 * CHOOSE(CONTROL!$C$22, $C$13, 100%, $E$13)</f>
        <v>4.0266000000000002</v>
      </c>
      <c r="H209" s="61">
        <f>7.6946* CHOOSE(CONTROL!$C$22, $C$13, 100%, $E$13)</f>
        <v>7.6946000000000003</v>
      </c>
      <c r="I209" s="61">
        <f>7.6948 * CHOOSE(CONTROL!$C$22, $C$13, 100%, $E$13)</f>
        <v>7.6947999999999999</v>
      </c>
      <c r="J209" s="61">
        <f>4.0264 * CHOOSE(CONTROL!$C$22, $C$13, 100%, $E$13)</f>
        <v>4.0263999999999998</v>
      </c>
      <c r="K209" s="61">
        <f>4.0266 * CHOOSE(CONTROL!$C$22, $C$13, 100%, $E$13)</f>
        <v>4.0266000000000002</v>
      </c>
    </row>
    <row r="210" spans="1:11" ht="15">
      <c r="A210" s="13">
        <v>48245</v>
      </c>
      <c r="B210" s="60">
        <f>3.7924 * CHOOSE(CONTROL!$C$22, $C$13, 100%, $E$13)</f>
        <v>3.7924000000000002</v>
      </c>
      <c r="C210" s="60">
        <f>3.7924 * CHOOSE(CONTROL!$C$22, $C$13, 100%, $E$13)</f>
        <v>3.7924000000000002</v>
      </c>
      <c r="D210" s="60">
        <f>3.8113 * CHOOSE(CONTROL!$C$22, $C$13, 100%, $E$13)</f>
        <v>3.8113000000000001</v>
      </c>
      <c r="E210" s="61">
        <f>3.9666 * CHOOSE(CONTROL!$C$22, $C$13, 100%, $E$13)</f>
        <v>3.9666000000000001</v>
      </c>
      <c r="F210" s="61">
        <f>3.9666 * CHOOSE(CONTROL!$C$22, $C$13, 100%, $E$13)</f>
        <v>3.9666000000000001</v>
      </c>
      <c r="G210" s="61">
        <f>3.9668 * CHOOSE(CONTROL!$C$22, $C$13, 100%, $E$13)</f>
        <v>3.9668000000000001</v>
      </c>
      <c r="H210" s="61">
        <f>7.7106* CHOOSE(CONTROL!$C$22, $C$13, 100%, $E$13)</f>
        <v>7.7106000000000003</v>
      </c>
      <c r="I210" s="61">
        <f>7.7108 * CHOOSE(CONTROL!$C$22, $C$13, 100%, $E$13)</f>
        <v>7.7107999999999999</v>
      </c>
      <c r="J210" s="61">
        <f>3.9666 * CHOOSE(CONTROL!$C$22, $C$13, 100%, $E$13)</f>
        <v>3.9666000000000001</v>
      </c>
      <c r="K210" s="61">
        <f>3.9668 * CHOOSE(CONTROL!$C$22, $C$13, 100%, $E$13)</f>
        <v>3.9668000000000001</v>
      </c>
    </row>
    <row r="211" spans="1:11" ht="15">
      <c r="A211" s="13">
        <v>48274</v>
      </c>
      <c r="B211" s="60">
        <f>3.7894 * CHOOSE(CONTROL!$C$22, $C$13, 100%, $E$13)</f>
        <v>3.7894000000000001</v>
      </c>
      <c r="C211" s="60">
        <f>3.7894 * CHOOSE(CONTROL!$C$22, $C$13, 100%, $E$13)</f>
        <v>3.7894000000000001</v>
      </c>
      <c r="D211" s="60">
        <f>3.8082 * CHOOSE(CONTROL!$C$22, $C$13, 100%, $E$13)</f>
        <v>3.8081999999999998</v>
      </c>
      <c r="E211" s="61">
        <f>4.01 * CHOOSE(CONTROL!$C$22, $C$13, 100%, $E$13)</f>
        <v>4.01</v>
      </c>
      <c r="F211" s="61">
        <f>4.01 * CHOOSE(CONTROL!$C$22, $C$13, 100%, $E$13)</f>
        <v>4.01</v>
      </c>
      <c r="G211" s="61">
        <f>4.0101 * CHOOSE(CONTROL!$C$22, $C$13, 100%, $E$13)</f>
        <v>4.0101000000000004</v>
      </c>
      <c r="H211" s="61">
        <f>7.7267* CHOOSE(CONTROL!$C$22, $C$13, 100%, $E$13)</f>
        <v>7.7267000000000001</v>
      </c>
      <c r="I211" s="61">
        <f>7.7269 * CHOOSE(CONTROL!$C$22, $C$13, 100%, $E$13)</f>
        <v>7.7268999999999997</v>
      </c>
      <c r="J211" s="61">
        <f>4.01 * CHOOSE(CONTROL!$C$22, $C$13, 100%, $E$13)</f>
        <v>4.01</v>
      </c>
      <c r="K211" s="61">
        <f>4.0101 * CHOOSE(CONTROL!$C$22, $C$13, 100%, $E$13)</f>
        <v>4.0101000000000004</v>
      </c>
    </row>
    <row r="212" spans="1:11" ht="15">
      <c r="A212" s="13">
        <v>48305</v>
      </c>
      <c r="B212" s="60">
        <f>3.7869 * CHOOSE(CONTROL!$C$22, $C$13, 100%, $E$13)</f>
        <v>3.7869000000000002</v>
      </c>
      <c r="C212" s="60">
        <f>3.7869 * CHOOSE(CONTROL!$C$22, $C$13, 100%, $E$13)</f>
        <v>3.7869000000000002</v>
      </c>
      <c r="D212" s="60">
        <f>3.8057 * CHOOSE(CONTROL!$C$22, $C$13, 100%, $E$13)</f>
        <v>3.8056999999999999</v>
      </c>
      <c r="E212" s="61">
        <f>4.0546 * CHOOSE(CONTROL!$C$22, $C$13, 100%, $E$13)</f>
        <v>4.0545999999999998</v>
      </c>
      <c r="F212" s="61">
        <f>4.0546 * CHOOSE(CONTROL!$C$22, $C$13, 100%, $E$13)</f>
        <v>4.0545999999999998</v>
      </c>
      <c r="G212" s="61">
        <f>4.0548 * CHOOSE(CONTROL!$C$22, $C$13, 100%, $E$13)</f>
        <v>4.0548000000000002</v>
      </c>
      <c r="H212" s="61">
        <f>7.7428* CHOOSE(CONTROL!$C$22, $C$13, 100%, $E$13)</f>
        <v>7.7427999999999999</v>
      </c>
      <c r="I212" s="61">
        <f>7.743 * CHOOSE(CONTROL!$C$22, $C$13, 100%, $E$13)</f>
        <v>7.7430000000000003</v>
      </c>
      <c r="J212" s="61">
        <f>4.0546 * CHOOSE(CONTROL!$C$22, $C$13, 100%, $E$13)</f>
        <v>4.0545999999999998</v>
      </c>
      <c r="K212" s="61">
        <f>4.0548 * CHOOSE(CONTROL!$C$22, $C$13, 100%, $E$13)</f>
        <v>4.0548000000000002</v>
      </c>
    </row>
    <row r="213" spans="1:11" ht="15">
      <c r="A213" s="13">
        <v>48335</v>
      </c>
      <c r="B213" s="60">
        <f>3.7869 * CHOOSE(CONTROL!$C$22, $C$13, 100%, $E$13)</f>
        <v>3.7869000000000002</v>
      </c>
      <c r="C213" s="60">
        <f>3.7869 * CHOOSE(CONTROL!$C$22, $C$13, 100%, $E$13)</f>
        <v>3.7869000000000002</v>
      </c>
      <c r="D213" s="60">
        <f>3.8245 * CHOOSE(CONTROL!$C$22, $C$13, 100%, $E$13)</f>
        <v>3.8245</v>
      </c>
      <c r="E213" s="61">
        <f>4.0729 * CHOOSE(CONTROL!$C$22, $C$13, 100%, $E$13)</f>
        <v>4.0728999999999997</v>
      </c>
      <c r="F213" s="61">
        <f>4.0729 * CHOOSE(CONTROL!$C$22, $C$13, 100%, $E$13)</f>
        <v>4.0728999999999997</v>
      </c>
      <c r="G213" s="61">
        <f>4.0752 * CHOOSE(CONTROL!$C$22, $C$13, 100%, $E$13)</f>
        <v>4.0751999999999997</v>
      </c>
      <c r="H213" s="61">
        <f>7.7589* CHOOSE(CONTROL!$C$22, $C$13, 100%, $E$13)</f>
        <v>7.7588999999999997</v>
      </c>
      <c r="I213" s="61">
        <f>7.7612 * CHOOSE(CONTROL!$C$22, $C$13, 100%, $E$13)</f>
        <v>7.7611999999999997</v>
      </c>
      <c r="J213" s="61">
        <f>4.0729 * CHOOSE(CONTROL!$C$22, $C$13, 100%, $E$13)</f>
        <v>4.0728999999999997</v>
      </c>
      <c r="K213" s="61">
        <f>4.0752 * CHOOSE(CONTROL!$C$22, $C$13, 100%, $E$13)</f>
        <v>4.0751999999999997</v>
      </c>
    </row>
    <row r="214" spans="1:11" ht="15">
      <c r="A214" s="13">
        <v>48366</v>
      </c>
      <c r="B214" s="60">
        <f>3.793 * CHOOSE(CONTROL!$C$22, $C$13, 100%, $E$13)</f>
        <v>3.7930000000000001</v>
      </c>
      <c r="C214" s="60">
        <f>3.793 * CHOOSE(CONTROL!$C$22, $C$13, 100%, $E$13)</f>
        <v>3.7930000000000001</v>
      </c>
      <c r="D214" s="60">
        <f>3.8306 * CHOOSE(CONTROL!$C$22, $C$13, 100%, $E$13)</f>
        <v>3.8306</v>
      </c>
      <c r="E214" s="61">
        <f>4.0588 * CHOOSE(CONTROL!$C$22, $C$13, 100%, $E$13)</f>
        <v>4.0587999999999997</v>
      </c>
      <c r="F214" s="61">
        <f>4.0588 * CHOOSE(CONTROL!$C$22, $C$13, 100%, $E$13)</f>
        <v>4.0587999999999997</v>
      </c>
      <c r="G214" s="61">
        <f>4.0612 * CHOOSE(CONTROL!$C$22, $C$13, 100%, $E$13)</f>
        <v>4.0612000000000004</v>
      </c>
      <c r="H214" s="61">
        <f>7.7751* CHOOSE(CONTROL!$C$22, $C$13, 100%, $E$13)</f>
        <v>7.7751000000000001</v>
      </c>
      <c r="I214" s="61">
        <f>7.7774 * CHOOSE(CONTROL!$C$22, $C$13, 100%, $E$13)</f>
        <v>7.7774000000000001</v>
      </c>
      <c r="J214" s="61">
        <f>4.0588 * CHOOSE(CONTROL!$C$22, $C$13, 100%, $E$13)</f>
        <v>4.0587999999999997</v>
      </c>
      <c r="K214" s="61">
        <f>4.0612 * CHOOSE(CONTROL!$C$22, $C$13, 100%, $E$13)</f>
        <v>4.0612000000000004</v>
      </c>
    </row>
    <row r="215" spans="1:11" ht="15">
      <c r="A215" s="13">
        <v>48396</v>
      </c>
      <c r="B215" s="60">
        <f>3.8532 * CHOOSE(CONTROL!$C$22, $C$13, 100%, $E$13)</f>
        <v>3.8532000000000002</v>
      </c>
      <c r="C215" s="60">
        <f>3.8532 * CHOOSE(CONTROL!$C$22, $C$13, 100%, $E$13)</f>
        <v>3.8532000000000002</v>
      </c>
      <c r="D215" s="60">
        <f>3.8908 * CHOOSE(CONTROL!$C$22, $C$13, 100%, $E$13)</f>
        <v>3.8908</v>
      </c>
      <c r="E215" s="61">
        <f>4.1344 * CHOOSE(CONTROL!$C$22, $C$13, 100%, $E$13)</f>
        <v>4.1344000000000003</v>
      </c>
      <c r="F215" s="61">
        <f>4.1344 * CHOOSE(CONTROL!$C$22, $C$13, 100%, $E$13)</f>
        <v>4.1344000000000003</v>
      </c>
      <c r="G215" s="61">
        <f>4.1367 * CHOOSE(CONTROL!$C$22, $C$13, 100%, $E$13)</f>
        <v>4.1367000000000003</v>
      </c>
      <c r="H215" s="61">
        <f>7.7913* CHOOSE(CONTROL!$C$22, $C$13, 100%, $E$13)</f>
        <v>7.7912999999999997</v>
      </c>
      <c r="I215" s="61">
        <f>7.7936 * CHOOSE(CONTROL!$C$22, $C$13, 100%, $E$13)</f>
        <v>7.7935999999999996</v>
      </c>
      <c r="J215" s="61">
        <f>4.1344 * CHOOSE(CONTROL!$C$22, $C$13, 100%, $E$13)</f>
        <v>4.1344000000000003</v>
      </c>
      <c r="K215" s="61">
        <f>4.1367 * CHOOSE(CONTROL!$C$22, $C$13, 100%, $E$13)</f>
        <v>4.1367000000000003</v>
      </c>
    </row>
    <row r="216" spans="1:11" ht="15">
      <c r="A216" s="13">
        <v>48427</v>
      </c>
      <c r="B216" s="60">
        <f>3.8599 * CHOOSE(CONTROL!$C$22, $C$13, 100%, $E$13)</f>
        <v>3.8599000000000001</v>
      </c>
      <c r="C216" s="60">
        <f>3.8599 * CHOOSE(CONTROL!$C$22, $C$13, 100%, $E$13)</f>
        <v>3.8599000000000001</v>
      </c>
      <c r="D216" s="60">
        <f>3.8975 * CHOOSE(CONTROL!$C$22, $C$13, 100%, $E$13)</f>
        <v>3.8975</v>
      </c>
      <c r="E216" s="61">
        <f>4.0841 * CHOOSE(CONTROL!$C$22, $C$13, 100%, $E$13)</f>
        <v>4.0841000000000003</v>
      </c>
      <c r="F216" s="61">
        <f>4.0841 * CHOOSE(CONTROL!$C$22, $C$13, 100%, $E$13)</f>
        <v>4.0841000000000003</v>
      </c>
      <c r="G216" s="61">
        <f>4.0864 * CHOOSE(CONTROL!$C$22, $C$13, 100%, $E$13)</f>
        <v>4.0864000000000003</v>
      </c>
      <c r="H216" s="61">
        <f>7.8075* CHOOSE(CONTROL!$C$22, $C$13, 100%, $E$13)</f>
        <v>7.8075000000000001</v>
      </c>
      <c r="I216" s="61">
        <f>7.8098 * CHOOSE(CONTROL!$C$22, $C$13, 100%, $E$13)</f>
        <v>7.8098000000000001</v>
      </c>
      <c r="J216" s="61">
        <f>4.0841 * CHOOSE(CONTROL!$C$22, $C$13, 100%, $E$13)</f>
        <v>4.0841000000000003</v>
      </c>
      <c r="K216" s="61">
        <f>4.0864 * CHOOSE(CONTROL!$C$22, $C$13, 100%, $E$13)</f>
        <v>4.0864000000000003</v>
      </c>
    </row>
    <row r="217" spans="1:11" ht="15">
      <c r="A217" s="13">
        <v>48458</v>
      </c>
      <c r="B217" s="60">
        <f>3.8569 * CHOOSE(CONTROL!$C$22, $C$13, 100%, $E$13)</f>
        <v>3.8569</v>
      </c>
      <c r="C217" s="60">
        <f>3.8569 * CHOOSE(CONTROL!$C$22, $C$13, 100%, $E$13)</f>
        <v>3.8569</v>
      </c>
      <c r="D217" s="60">
        <f>3.8945 * CHOOSE(CONTROL!$C$22, $C$13, 100%, $E$13)</f>
        <v>3.8944999999999999</v>
      </c>
      <c r="E217" s="61">
        <f>4.0758 * CHOOSE(CONTROL!$C$22, $C$13, 100%, $E$13)</f>
        <v>4.0758000000000001</v>
      </c>
      <c r="F217" s="61">
        <f>4.0758 * CHOOSE(CONTROL!$C$22, $C$13, 100%, $E$13)</f>
        <v>4.0758000000000001</v>
      </c>
      <c r="G217" s="61">
        <f>4.0781 * CHOOSE(CONTROL!$C$22, $C$13, 100%, $E$13)</f>
        <v>4.0781000000000001</v>
      </c>
      <c r="H217" s="61">
        <f>7.8238* CHOOSE(CONTROL!$C$22, $C$13, 100%, $E$13)</f>
        <v>7.8238000000000003</v>
      </c>
      <c r="I217" s="61">
        <f>7.8261 * CHOOSE(CONTROL!$C$22, $C$13, 100%, $E$13)</f>
        <v>7.8261000000000003</v>
      </c>
      <c r="J217" s="61">
        <f>4.0758 * CHOOSE(CONTROL!$C$22, $C$13, 100%, $E$13)</f>
        <v>4.0758000000000001</v>
      </c>
      <c r="K217" s="61">
        <f>4.0781 * CHOOSE(CONTROL!$C$22, $C$13, 100%, $E$13)</f>
        <v>4.0781000000000001</v>
      </c>
    </row>
    <row r="218" spans="1:11" ht="15">
      <c r="A218" s="13">
        <v>48488</v>
      </c>
      <c r="B218" s="60">
        <f>3.8515 * CHOOSE(CONTROL!$C$22, $C$13, 100%, $E$13)</f>
        <v>3.8515000000000001</v>
      </c>
      <c r="C218" s="60">
        <f>3.8515 * CHOOSE(CONTROL!$C$22, $C$13, 100%, $E$13)</f>
        <v>3.8515000000000001</v>
      </c>
      <c r="D218" s="60">
        <f>3.8703 * CHOOSE(CONTROL!$C$22, $C$13, 100%, $E$13)</f>
        <v>3.8702999999999999</v>
      </c>
      <c r="E218" s="61">
        <f>4.0868 * CHOOSE(CONTROL!$C$22, $C$13, 100%, $E$13)</f>
        <v>4.0868000000000002</v>
      </c>
      <c r="F218" s="61">
        <f>4.0868 * CHOOSE(CONTROL!$C$22, $C$13, 100%, $E$13)</f>
        <v>4.0868000000000002</v>
      </c>
      <c r="G218" s="61">
        <f>4.087 * CHOOSE(CONTROL!$C$22, $C$13, 100%, $E$13)</f>
        <v>4.0869999999999997</v>
      </c>
      <c r="H218" s="61">
        <f>7.8401* CHOOSE(CONTROL!$C$22, $C$13, 100%, $E$13)</f>
        <v>7.8400999999999996</v>
      </c>
      <c r="I218" s="61">
        <f>7.8403 * CHOOSE(CONTROL!$C$22, $C$13, 100%, $E$13)</f>
        <v>7.8403</v>
      </c>
      <c r="J218" s="61">
        <f>4.0868 * CHOOSE(CONTROL!$C$22, $C$13, 100%, $E$13)</f>
        <v>4.0868000000000002</v>
      </c>
      <c r="K218" s="61">
        <f>4.087 * CHOOSE(CONTROL!$C$22, $C$13, 100%, $E$13)</f>
        <v>4.0869999999999997</v>
      </c>
    </row>
    <row r="219" spans="1:11" ht="15">
      <c r="A219" s="13">
        <v>48519</v>
      </c>
      <c r="B219" s="60">
        <f>3.8545 * CHOOSE(CONTROL!$C$22, $C$13, 100%, $E$13)</f>
        <v>3.8544999999999998</v>
      </c>
      <c r="C219" s="60">
        <f>3.8545 * CHOOSE(CONTROL!$C$22, $C$13, 100%, $E$13)</f>
        <v>3.8544999999999998</v>
      </c>
      <c r="D219" s="60">
        <f>3.8733 * CHOOSE(CONTROL!$C$22, $C$13, 100%, $E$13)</f>
        <v>3.8733</v>
      </c>
      <c r="E219" s="61">
        <f>4.1012 * CHOOSE(CONTROL!$C$22, $C$13, 100%, $E$13)</f>
        <v>4.1012000000000004</v>
      </c>
      <c r="F219" s="61">
        <f>4.1012 * CHOOSE(CONTROL!$C$22, $C$13, 100%, $E$13)</f>
        <v>4.1012000000000004</v>
      </c>
      <c r="G219" s="61">
        <f>4.1014 * CHOOSE(CONTROL!$C$22, $C$13, 100%, $E$13)</f>
        <v>4.1013999999999999</v>
      </c>
      <c r="H219" s="61">
        <f>7.8564* CHOOSE(CONTROL!$C$22, $C$13, 100%, $E$13)</f>
        <v>7.8563999999999998</v>
      </c>
      <c r="I219" s="61">
        <f>7.8566 * CHOOSE(CONTROL!$C$22, $C$13, 100%, $E$13)</f>
        <v>7.8566000000000003</v>
      </c>
      <c r="J219" s="61">
        <f>4.1012 * CHOOSE(CONTROL!$C$22, $C$13, 100%, $E$13)</f>
        <v>4.1012000000000004</v>
      </c>
      <c r="K219" s="61">
        <f>4.1014 * CHOOSE(CONTROL!$C$22, $C$13, 100%, $E$13)</f>
        <v>4.1013999999999999</v>
      </c>
    </row>
    <row r="220" spans="1:11" ht="15">
      <c r="A220" s="13">
        <v>48549</v>
      </c>
      <c r="B220" s="60">
        <f>3.8545 * CHOOSE(CONTROL!$C$22, $C$13, 100%, $E$13)</f>
        <v>3.8544999999999998</v>
      </c>
      <c r="C220" s="60">
        <f>3.8545 * CHOOSE(CONTROL!$C$22, $C$13, 100%, $E$13)</f>
        <v>3.8544999999999998</v>
      </c>
      <c r="D220" s="60">
        <f>3.8733 * CHOOSE(CONTROL!$C$22, $C$13, 100%, $E$13)</f>
        <v>3.8733</v>
      </c>
      <c r="E220" s="61">
        <f>4.0706 * CHOOSE(CONTROL!$C$22, $C$13, 100%, $E$13)</f>
        <v>4.0705999999999998</v>
      </c>
      <c r="F220" s="61">
        <f>4.0706 * CHOOSE(CONTROL!$C$22, $C$13, 100%, $E$13)</f>
        <v>4.0705999999999998</v>
      </c>
      <c r="G220" s="61">
        <f>4.0708 * CHOOSE(CONTROL!$C$22, $C$13, 100%, $E$13)</f>
        <v>4.0708000000000002</v>
      </c>
      <c r="H220" s="61">
        <f>7.8728* CHOOSE(CONTROL!$C$22, $C$13, 100%, $E$13)</f>
        <v>7.8727999999999998</v>
      </c>
      <c r="I220" s="61">
        <f>7.873 * CHOOSE(CONTROL!$C$22, $C$13, 100%, $E$13)</f>
        <v>7.8730000000000002</v>
      </c>
      <c r="J220" s="61">
        <f>4.0706 * CHOOSE(CONTROL!$C$22, $C$13, 100%, $E$13)</f>
        <v>4.0705999999999998</v>
      </c>
      <c r="K220" s="61">
        <f>4.0708 * CHOOSE(CONTROL!$C$22, $C$13, 100%, $E$13)</f>
        <v>4.0708000000000002</v>
      </c>
    </row>
    <row r="221" spans="1:11" ht="15">
      <c r="A221" s="13">
        <v>48580</v>
      </c>
      <c r="B221" s="60">
        <f>3.8808 * CHOOSE(CONTROL!$C$22, $C$13, 100%, $E$13)</f>
        <v>3.8807999999999998</v>
      </c>
      <c r="C221" s="60">
        <f>3.8808 * CHOOSE(CONTROL!$C$22, $C$13, 100%, $E$13)</f>
        <v>3.8807999999999998</v>
      </c>
      <c r="D221" s="60">
        <f>3.8996 * CHOOSE(CONTROL!$C$22, $C$13, 100%, $E$13)</f>
        <v>3.8996</v>
      </c>
      <c r="E221" s="61">
        <f>4.1331 * CHOOSE(CONTROL!$C$22, $C$13, 100%, $E$13)</f>
        <v>4.1330999999999998</v>
      </c>
      <c r="F221" s="61">
        <f>4.1331 * CHOOSE(CONTROL!$C$22, $C$13, 100%, $E$13)</f>
        <v>4.1330999999999998</v>
      </c>
      <c r="G221" s="61">
        <f>4.1333 * CHOOSE(CONTROL!$C$22, $C$13, 100%, $E$13)</f>
        <v>4.1333000000000002</v>
      </c>
      <c r="H221" s="61">
        <f>7.8892* CHOOSE(CONTROL!$C$22, $C$13, 100%, $E$13)</f>
        <v>7.8891999999999998</v>
      </c>
      <c r="I221" s="61">
        <f>7.8894 * CHOOSE(CONTROL!$C$22, $C$13, 100%, $E$13)</f>
        <v>7.8894000000000002</v>
      </c>
      <c r="J221" s="61">
        <f>4.1331 * CHOOSE(CONTROL!$C$22, $C$13, 100%, $E$13)</f>
        <v>4.1330999999999998</v>
      </c>
      <c r="K221" s="61">
        <f>4.1333 * CHOOSE(CONTROL!$C$22, $C$13, 100%, $E$13)</f>
        <v>4.1333000000000002</v>
      </c>
    </row>
    <row r="222" spans="1:11" ht="15">
      <c r="A222" s="13">
        <v>48611</v>
      </c>
      <c r="B222" s="60">
        <f>3.8778 * CHOOSE(CONTROL!$C$22, $C$13, 100%, $E$13)</f>
        <v>3.8778000000000001</v>
      </c>
      <c r="C222" s="60">
        <f>3.8778 * CHOOSE(CONTROL!$C$22, $C$13, 100%, $E$13)</f>
        <v>3.8778000000000001</v>
      </c>
      <c r="D222" s="60">
        <f>3.8966 * CHOOSE(CONTROL!$C$22, $C$13, 100%, $E$13)</f>
        <v>3.8965999999999998</v>
      </c>
      <c r="E222" s="61">
        <f>4.0716 * CHOOSE(CONTROL!$C$22, $C$13, 100%, $E$13)</f>
        <v>4.0716000000000001</v>
      </c>
      <c r="F222" s="61">
        <f>4.0716 * CHOOSE(CONTROL!$C$22, $C$13, 100%, $E$13)</f>
        <v>4.0716000000000001</v>
      </c>
      <c r="G222" s="61">
        <f>4.0718 * CHOOSE(CONTROL!$C$22, $C$13, 100%, $E$13)</f>
        <v>4.0717999999999996</v>
      </c>
      <c r="H222" s="61">
        <f>7.9056* CHOOSE(CONTROL!$C$22, $C$13, 100%, $E$13)</f>
        <v>7.9055999999999997</v>
      </c>
      <c r="I222" s="61">
        <f>7.9058 * CHOOSE(CONTROL!$C$22, $C$13, 100%, $E$13)</f>
        <v>7.9058000000000002</v>
      </c>
      <c r="J222" s="61">
        <f>4.0716 * CHOOSE(CONTROL!$C$22, $C$13, 100%, $E$13)</f>
        <v>4.0716000000000001</v>
      </c>
      <c r="K222" s="61">
        <f>4.0718 * CHOOSE(CONTROL!$C$22, $C$13, 100%, $E$13)</f>
        <v>4.0717999999999996</v>
      </c>
    </row>
    <row r="223" spans="1:11" ht="15">
      <c r="A223" s="13">
        <v>48639</v>
      </c>
      <c r="B223" s="60">
        <f>3.8747 * CHOOSE(CONTROL!$C$22, $C$13, 100%, $E$13)</f>
        <v>3.8746999999999998</v>
      </c>
      <c r="C223" s="60">
        <f>3.8747 * CHOOSE(CONTROL!$C$22, $C$13, 100%, $E$13)</f>
        <v>3.8746999999999998</v>
      </c>
      <c r="D223" s="60">
        <f>3.8936 * CHOOSE(CONTROL!$C$22, $C$13, 100%, $E$13)</f>
        <v>3.8936000000000002</v>
      </c>
      <c r="E223" s="61">
        <f>4.1163 * CHOOSE(CONTROL!$C$22, $C$13, 100%, $E$13)</f>
        <v>4.1162999999999998</v>
      </c>
      <c r="F223" s="61">
        <f>4.1163 * CHOOSE(CONTROL!$C$22, $C$13, 100%, $E$13)</f>
        <v>4.1162999999999998</v>
      </c>
      <c r="G223" s="61">
        <f>4.1165 * CHOOSE(CONTROL!$C$22, $C$13, 100%, $E$13)</f>
        <v>4.1165000000000003</v>
      </c>
      <c r="H223" s="61">
        <f>7.9221* CHOOSE(CONTROL!$C$22, $C$13, 100%, $E$13)</f>
        <v>7.9221000000000004</v>
      </c>
      <c r="I223" s="61">
        <f>7.9223 * CHOOSE(CONTROL!$C$22, $C$13, 100%, $E$13)</f>
        <v>7.9222999999999999</v>
      </c>
      <c r="J223" s="61">
        <f>4.1163 * CHOOSE(CONTROL!$C$22, $C$13, 100%, $E$13)</f>
        <v>4.1162999999999998</v>
      </c>
      <c r="K223" s="61">
        <f>4.1165 * CHOOSE(CONTROL!$C$22, $C$13, 100%, $E$13)</f>
        <v>4.1165000000000003</v>
      </c>
    </row>
    <row r="224" spans="1:11" ht="15">
      <c r="A224" s="13">
        <v>48670</v>
      </c>
      <c r="B224" s="60">
        <f>3.8723 * CHOOSE(CONTROL!$C$22, $C$13, 100%, $E$13)</f>
        <v>3.8723000000000001</v>
      </c>
      <c r="C224" s="60">
        <f>3.8723 * CHOOSE(CONTROL!$C$22, $C$13, 100%, $E$13)</f>
        <v>3.8723000000000001</v>
      </c>
      <c r="D224" s="60">
        <f>3.8911 * CHOOSE(CONTROL!$C$22, $C$13, 100%, $E$13)</f>
        <v>3.8910999999999998</v>
      </c>
      <c r="E224" s="61">
        <f>4.1624 * CHOOSE(CONTROL!$C$22, $C$13, 100%, $E$13)</f>
        <v>4.1623999999999999</v>
      </c>
      <c r="F224" s="61">
        <f>4.1624 * CHOOSE(CONTROL!$C$22, $C$13, 100%, $E$13)</f>
        <v>4.1623999999999999</v>
      </c>
      <c r="G224" s="61">
        <f>4.1625 * CHOOSE(CONTROL!$C$22, $C$13, 100%, $E$13)</f>
        <v>4.1624999999999996</v>
      </c>
      <c r="H224" s="61">
        <f>7.9386* CHOOSE(CONTROL!$C$22, $C$13, 100%, $E$13)</f>
        <v>7.9386000000000001</v>
      </c>
      <c r="I224" s="61">
        <f>7.9388 * CHOOSE(CONTROL!$C$22, $C$13, 100%, $E$13)</f>
        <v>7.9387999999999996</v>
      </c>
      <c r="J224" s="61">
        <f>4.1624 * CHOOSE(CONTROL!$C$22, $C$13, 100%, $E$13)</f>
        <v>4.1623999999999999</v>
      </c>
      <c r="K224" s="61">
        <f>4.1625 * CHOOSE(CONTROL!$C$22, $C$13, 100%, $E$13)</f>
        <v>4.1624999999999996</v>
      </c>
    </row>
    <row r="225" spans="1:11" ht="15">
      <c r="A225" s="13">
        <v>48700</v>
      </c>
      <c r="B225" s="60">
        <f>3.8723 * CHOOSE(CONTROL!$C$22, $C$13, 100%, $E$13)</f>
        <v>3.8723000000000001</v>
      </c>
      <c r="C225" s="60">
        <f>3.8723 * CHOOSE(CONTROL!$C$22, $C$13, 100%, $E$13)</f>
        <v>3.8723000000000001</v>
      </c>
      <c r="D225" s="60">
        <f>3.9099 * CHOOSE(CONTROL!$C$22, $C$13, 100%, $E$13)</f>
        <v>3.9098999999999999</v>
      </c>
      <c r="E225" s="61">
        <f>4.1812 * CHOOSE(CONTROL!$C$22, $C$13, 100%, $E$13)</f>
        <v>4.1811999999999996</v>
      </c>
      <c r="F225" s="61">
        <f>4.1812 * CHOOSE(CONTROL!$C$22, $C$13, 100%, $E$13)</f>
        <v>4.1811999999999996</v>
      </c>
      <c r="G225" s="61">
        <f>4.1835 * CHOOSE(CONTROL!$C$22, $C$13, 100%, $E$13)</f>
        <v>4.1835000000000004</v>
      </c>
      <c r="H225" s="61">
        <f>7.9551* CHOOSE(CONTROL!$C$22, $C$13, 100%, $E$13)</f>
        <v>7.9550999999999998</v>
      </c>
      <c r="I225" s="61">
        <f>7.9575 * CHOOSE(CONTROL!$C$22, $C$13, 100%, $E$13)</f>
        <v>7.9574999999999996</v>
      </c>
      <c r="J225" s="61">
        <f>4.1812 * CHOOSE(CONTROL!$C$22, $C$13, 100%, $E$13)</f>
        <v>4.1811999999999996</v>
      </c>
      <c r="K225" s="61">
        <f>4.1835 * CHOOSE(CONTROL!$C$22, $C$13, 100%, $E$13)</f>
        <v>4.1835000000000004</v>
      </c>
    </row>
    <row r="226" spans="1:11" ht="15">
      <c r="A226" s="13">
        <v>48731</v>
      </c>
      <c r="B226" s="60">
        <f>3.8784 * CHOOSE(CONTROL!$C$22, $C$13, 100%, $E$13)</f>
        <v>3.8784000000000001</v>
      </c>
      <c r="C226" s="60">
        <f>3.8784 * CHOOSE(CONTROL!$C$22, $C$13, 100%, $E$13)</f>
        <v>3.8784000000000001</v>
      </c>
      <c r="D226" s="60">
        <f>3.916 * CHOOSE(CONTROL!$C$22, $C$13, 100%, $E$13)</f>
        <v>3.9159999999999999</v>
      </c>
      <c r="E226" s="61">
        <f>4.1666 * CHOOSE(CONTROL!$C$22, $C$13, 100%, $E$13)</f>
        <v>4.1665999999999999</v>
      </c>
      <c r="F226" s="61">
        <f>4.1666 * CHOOSE(CONTROL!$C$22, $C$13, 100%, $E$13)</f>
        <v>4.1665999999999999</v>
      </c>
      <c r="G226" s="61">
        <f>4.1689 * CHOOSE(CONTROL!$C$22, $C$13, 100%, $E$13)</f>
        <v>4.1688999999999998</v>
      </c>
      <c r="H226" s="61">
        <f>7.9717* CHOOSE(CONTROL!$C$22, $C$13, 100%, $E$13)</f>
        <v>7.9717000000000002</v>
      </c>
      <c r="I226" s="61">
        <f>7.974 * CHOOSE(CONTROL!$C$22, $C$13, 100%, $E$13)</f>
        <v>7.9740000000000002</v>
      </c>
      <c r="J226" s="61">
        <f>4.1666 * CHOOSE(CONTROL!$C$22, $C$13, 100%, $E$13)</f>
        <v>4.1665999999999999</v>
      </c>
      <c r="K226" s="61">
        <f>4.1689 * CHOOSE(CONTROL!$C$22, $C$13, 100%, $E$13)</f>
        <v>4.1688999999999998</v>
      </c>
    </row>
    <row r="227" spans="1:11" ht="15">
      <c r="A227" s="13">
        <v>48761</v>
      </c>
      <c r="B227" s="60">
        <f>3.9231 * CHOOSE(CONTROL!$C$22, $C$13, 100%, $E$13)</f>
        <v>3.9230999999999998</v>
      </c>
      <c r="C227" s="60">
        <f>3.9231 * CHOOSE(CONTROL!$C$22, $C$13, 100%, $E$13)</f>
        <v>3.9230999999999998</v>
      </c>
      <c r="D227" s="60">
        <f>3.9608 * CHOOSE(CONTROL!$C$22, $C$13, 100%, $E$13)</f>
        <v>3.9607999999999999</v>
      </c>
      <c r="E227" s="61">
        <f>4.2544 * CHOOSE(CONTROL!$C$22, $C$13, 100%, $E$13)</f>
        <v>4.2544000000000004</v>
      </c>
      <c r="F227" s="61">
        <f>4.2544 * CHOOSE(CONTROL!$C$22, $C$13, 100%, $E$13)</f>
        <v>4.2544000000000004</v>
      </c>
      <c r="G227" s="61">
        <f>4.2567 * CHOOSE(CONTROL!$C$22, $C$13, 100%, $E$13)</f>
        <v>4.2567000000000004</v>
      </c>
      <c r="H227" s="61">
        <f>7.9883* CHOOSE(CONTROL!$C$22, $C$13, 100%, $E$13)</f>
        <v>7.9882999999999997</v>
      </c>
      <c r="I227" s="61">
        <f>7.9906 * CHOOSE(CONTROL!$C$22, $C$13, 100%, $E$13)</f>
        <v>7.9905999999999997</v>
      </c>
      <c r="J227" s="61">
        <f>4.2544 * CHOOSE(CONTROL!$C$22, $C$13, 100%, $E$13)</f>
        <v>4.2544000000000004</v>
      </c>
      <c r="K227" s="61">
        <f>4.2567 * CHOOSE(CONTROL!$C$22, $C$13, 100%, $E$13)</f>
        <v>4.2567000000000004</v>
      </c>
    </row>
    <row r="228" spans="1:11" ht="15">
      <c r="A228" s="13">
        <v>48792</v>
      </c>
      <c r="B228" s="60">
        <f>3.9298 * CHOOSE(CONTROL!$C$22, $C$13, 100%, $E$13)</f>
        <v>3.9298000000000002</v>
      </c>
      <c r="C228" s="60">
        <f>3.9298 * CHOOSE(CONTROL!$C$22, $C$13, 100%, $E$13)</f>
        <v>3.9298000000000002</v>
      </c>
      <c r="D228" s="60">
        <f>3.9674 * CHOOSE(CONTROL!$C$22, $C$13, 100%, $E$13)</f>
        <v>3.9674</v>
      </c>
      <c r="E228" s="61">
        <f>4.2025 * CHOOSE(CONTROL!$C$22, $C$13, 100%, $E$13)</f>
        <v>4.2024999999999997</v>
      </c>
      <c r="F228" s="61">
        <f>4.2025 * CHOOSE(CONTROL!$C$22, $C$13, 100%, $E$13)</f>
        <v>4.2024999999999997</v>
      </c>
      <c r="G228" s="61">
        <f>4.2048 * CHOOSE(CONTROL!$C$22, $C$13, 100%, $E$13)</f>
        <v>4.2047999999999996</v>
      </c>
      <c r="H228" s="61">
        <f>8.005* CHOOSE(CONTROL!$C$22, $C$13, 100%, $E$13)</f>
        <v>8.0050000000000008</v>
      </c>
      <c r="I228" s="61">
        <f>8.0073 * CHOOSE(CONTROL!$C$22, $C$13, 100%, $E$13)</f>
        <v>8.0073000000000008</v>
      </c>
      <c r="J228" s="61">
        <f>4.2025 * CHOOSE(CONTROL!$C$22, $C$13, 100%, $E$13)</f>
        <v>4.2024999999999997</v>
      </c>
      <c r="K228" s="61">
        <f>4.2048 * CHOOSE(CONTROL!$C$22, $C$13, 100%, $E$13)</f>
        <v>4.2047999999999996</v>
      </c>
    </row>
    <row r="229" spans="1:11" ht="15">
      <c r="A229" s="13">
        <v>48823</v>
      </c>
      <c r="B229" s="60">
        <f>3.9268 * CHOOSE(CONTROL!$C$22, $C$13, 100%, $E$13)</f>
        <v>3.9268000000000001</v>
      </c>
      <c r="C229" s="60">
        <f>3.9268 * CHOOSE(CONTROL!$C$22, $C$13, 100%, $E$13)</f>
        <v>3.9268000000000001</v>
      </c>
      <c r="D229" s="60">
        <f>3.9644 * CHOOSE(CONTROL!$C$22, $C$13, 100%, $E$13)</f>
        <v>3.9643999999999999</v>
      </c>
      <c r="E229" s="61">
        <f>4.1941 * CHOOSE(CONTROL!$C$22, $C$13, 100%, $E$13)</f>
        <v>4.1940999999999997</v>
      </c>
      <c r="F229" s="61">
        <f>4.1941 * CHOOSE(CONTROL!$C$22, $C$13, 100%, $E$13)</f>
        <v>4.1940999999999997</v>
      </c>
      <c r="G229" s="61">
        <f>4.1964 * CHOOSE(CONTROL!$C$22, $C$13, 100%, $E$13)</f>
        <v>4.1963999999999997</v>
      </c>
      <c r="H229" s="61">
        <f>8.0216* CHOOSE(CONTROL!$C$22, $C$13, 100%, $E$13)</f>
        <v>8.0215999999999994</v>
      </c>
      <c r="I229" s="61">
        <f>8.024 * CHOOSE(CONTROL!$C$22, $C$13, 100%, $E$13)</f>
        <v>8.0239999999999991</v>
      </c>
      <c r="J229" s="61">
        <f>4.1941 * CHOOSE(CONTROL!$C$22, $C$13, 100%, $E$13)</f>
        <v>4.1940999999999997</v>
      </c>
      <c r="K229" s="61">
        <f>4.1964 * CHOOSE(CONTROL!$C$22, $C$13, 100%, $E$13)</f>
        <v>4.1963999999999997</v>
      </c>
    </row>
    <row r="230" spans="1:11" ht="15">
      <c r="A230" s="13">
        <v>48853</v>
      </c>
      <c r="B230" s="60">
        <f>3.9217 * CHOOSE(CONTROL!$C$22, $C$13, 100%, $E$13)</f>
        <v>3.9217</v>
      </c>
      <c r="C230" s="60">
        <f>3.9217 * CHOOSE(CONTROL!$C$22, $C$13, 100%, $E$13)</f>
        <v>3.9217</v>
      </c>
      <c r="D230" s="60">
        <f>3.9405 * CHOOSE(CONTROL!$C$22, $C$13, 100%, $E$13)</f>
        <v>3.9405000000000001</v>
      </c>
      <c r="E230" s="61">
        <f>4.2058 * CHOOSE(CONTROL!$C$22, $C$13, 100%, $E$13)</f>
        <v>4.2058</v>
      </c>
      <c r="F230" s="61">
        <f>4.2058 * CHOOSE(CONTROL!$C$22, $C$13, 100%, $E$13)</f>
        <v>4.2058</v>
      </c>
      <c r="G230" s="61">
        <f>4.206 * CHOOSE(CONTROL!$C$22, $C$13, 100%, $E$13)</f>
        <v>4.2060000000000004</v>
      </c>
      <c r="H230" s="61">
        <f>8.0384* CHOOSE(CONTROL!$C$22, $C$13, 100%, $E$13)</f>
        <v>8.0383999999999993</v>
      </c>
      <c r="I230" s="61">
        <f>8.0385 * CHOOSE(CONTROL!$C$22, $C$13, 100%, $E$13)</f>
        <v>8.0385000000000009</v>
      </c>
      <c r="J230" s="61">
        <f>4.2058 * CHOOSE(CONTROL!$C$22, $C$13, 100%, $E$13)</f>
        <v>4.2058</v>
      </c>
      <c r="K230" s="61">
        <f>4.206 * CHOOSE(CONTROL!$C$22, $C$13, 100%, $E$13)</f>
        <v>4.2060000000000004</v>
      </c>
    </row>
    <row r="231" spans="1:11" ht="15">
      <c r="A231" s="13">
        <v>48884</v>
      </c>
      <c r="B231" s="60">
        <f>3.9248 * CHOOSE(CONTROL!$C$22, $C$13, 100%, $E$13)</f>
        <v>3.9247999999999998</v>
      </c>
      <c r="C231" s="60">
        <f>3.9248 * CHOOSE(CONTROL!$C$22, $C$13, 100%, $E$13)</f>
        <v>3.9247999999999998</v>
      </c>
      <c r="D231" s="60">
        <f>3.9436 * CHOOSE(CONTROL!$C$22, $C$13, 100%, $E$13)</f>
        <v>3.9436</v>
      </c>
      <c r="E231" s="61">
        <f>4.2205 * CHOOSE(CONTROL!$C$22, $C$13, 100%, $E$13)</f>
        <v>4.2205000000000004</v>
      </c>
      <c r="F231" s="61">
        <f>4.2205 * CHOOSE(CONTROL!$C$22, $C$13, 100%, $E$13)</f>
        <v>4.2205000000000004</v>
      </c>
      <c r="G231" s="61">
        <f>4.2207 * CHOOSE(CONTROL!$C$22, $C$13, 100%, $E$13)</f>
        <v>4.2206999999999999</v>
      </c>
      <c r="H231" s="61">
        <f>8.0551* CHOOSE(CONTROL!$C$22, $C$13, 100%, $E$13)</f>
        <v>8.0550999999999995</v>
      </c>
      <c r="I231" s="61">
        <f>8.0553 * CHOOSE(CONTROL!$C$22, $C$13, 100%, $E$13)</f>
        <v>8.0553000000000008</v>
      </c>
      <c r="J231" s="61">
        <f>4.2205 * CHOOSE(CONTROL!$C$22, $C$13, 100%, $E$13)</f>
        <v>4.2205000000000004</v>
      </c>
      <c r="K231" s="61">
        <f>4.2207 * CHOOSE(CONTROL!$C$22, $C$13, 100%, $E$13)</f>
        <v>4.2206999999999999</v>
      </c>
    </row>
    <row r="232" spans="1:11" ht="15">
      <c r="A232" s="13">
        <v>48914</v>
      </c>
      <c r="B232" s="60">
        <f>3.9248 * CHOOSE(CONTROL!$C$22, $C$13, 100%, $E$13)</f>
        <v>3.9247999999999998</v>
      </c>
      <c r="C232" s="60">
        <f>3.9248 * CHOOSE(CONTROL!$C$22, $C$13, 100%, $E$13)</f>
        <v>3.9247999999999998</v>
      </c>
      <c r="D232" s="60">
        <f>3.9436 * CHOOSE(CONTROL!$C$22, $C$13, 100%, $E$13)</f>
        <v>3.9436</v>
      </c>
      <c r="E232" s="61">
        <f>4.189 * CHOOSE(CONTROL!$C$22, $C$13, 100%, $E$13)</f>
        <v>4.1890000000000001</v>
      </c>
      <c r="F232" s="61">
        <f>4.189 * CHOOSE(CONTROL!$C$22, $C$13, 100%, $E$13)</f>
        <v>4.1890000000000001</v>
      </c>
      <c r="G232" s="61">
        <f>4.1892 * CHOOSE(CONTROL!$C$22, $C$13, 100%, $E$13)</f>
        <v>4.1891999999999996</v>
      </c>
      <c r="H232" s="61">
        <f>8.0719* CHOOSE(CONTROL!$C$22, $C$13, 100%, $E$13)</f>
        <v>8.0718999999999994</v>
      </c>
      <c r="I232" s="61">
        <f>8.0721 * CHOOSE(CONTROL!$C$22, $C$13, 100%, $E$13)</f>
        <v>8.0721000000000007</v>
      </c>
      <c r="J232" s="61">
        <f>4.189 * CHOOSE(CONTROL!$C$22, $C$13, 100%, $E$13)</f>
        <v>4.1890000000000001</v>
      </c>
      <c r="K232" s="61">
        <f>4.1892 * CHOOSE(CONTROL!$C$22, $C$13, 100%, $E$13)</f>
        <v>4.1891999999999996</v>
      </c>
    </row>
    <row r="233" spans="1:11" ht="15">
      <c r="A233" s="13">
        <v>48945</v>
      </c>
      <c r="B233" s="60">
        <f>3.9588 * CHOOSE(CONTROL!$C$22, $C$13, 100%, $E$13)</f>
        <v>3.9588000000000001</v>
      </c>
      <c r="C233" s="60">
        <f>3.9588 * CHOOSE(CONTROL!$C$22, $C$13, 100%, $E$13)</f>
        <v>3.9588000000000001</v>
      </c>
      <c r="D233" s="60">
        <f>3.9776 * CHOOSE(CONTROL!$C$22, $C$13, 100%, $E$13)</f>
        <v>3.9775999999999998</v>
      </c>
      <c r="E233" s="61">
        <f>4.2511 * CHOOSE(CONTROL!$C$22, $C$13, 100%, $E$13)</f>
        <v>4.2511000000000001</v>
      </c>
      <c r="F233" s="61">
        <f>4.2511 * CHOOSE(CONTROL!$C$22, $C$13, 100%, $E$13)</f>
        <v>4.2511000000000001</v>
      </c>
      <c r="G233" s="61">
        <f>4.2513 * CHOOSE(CONTROL!$C$22, $C$13, 100%, $E$13)</f>
        <v>4.2512999999999996</v>
      </c>
      <c r="H233" s="61">
        <f>8.0887* CHOOSE(CONTROL!$C$22, $C$13, 100%, $E$13)</f>
        <v>8.0886999999999993</v>
      </c>
      <c r="I233" s="61">
        <f>8.0889 * CHOOSE(CONTROL!$C$22, $C$13, 100%, $E$13)</f>
        <v>8.0889000000000006</v>
      </c>
      <c r="J233" s="61">
        <f>4.2511 * CHOOSE(CONTROL!$C$22, $C$13, 100%, $E$13)</f>
        <v>4.2511000000000001</v>
      </c>
      <c r="K233" s="61">
        <f>4.2513 * CHOOSE(CONTROL!$C$22, $C$13, 100%, $E$13)</f>
        <v>4.2512999999999996</v>
      </c>
    </row>
    <row r="234" spans="1:11" ht="15">
      <c r="A234" s="13">
        <v>48976</v>
      </c>
      <c r="B234" s="60">
        <f>3.9558 * CHOOSE(CONTROL!$C$22, $C$13, 100%, $E$13)</f>
        <v>3.9558</v>
      </c>
      <c r="C234" s="60">
        <f>3.9558 * CHOOSE(CONTROL!$C$22, $C$13, 100%, $E$13)</f>
        <v>3.9558</v>
      </c>
      <c r="D234" s="60">
        <f>3.9746 * CHOOSE(CONTROL!$C$22, $C$13, 100%, $E$13)</f>
        <v>3.9746000000000001</v>
      </c>
      <c r="E234" s="61">
        <f>4.1879 * CHOOSE(CONTROL!$C$22, $C$13, 100%, $E$13)</f>
        <v>4.1879</v>
      </c>
      <c r="F234" s="61">
        <f>4.1879 * CHOOSE(CONTROL!$C$22, $C$13, 100%, $E$13)</f>
        <v>4.1879</v>
      </c>
      <c r="G234" s="61">
        <f>4.188 * CHOOSE(CONTROL!$C$22, $C$13, 100%, $E$13)</f>
        <v>4.1879999999999997</v>
      </c>
      <c r="H234" s="61">
        <f>8.1056* CHOOSE(CONTROL!$C$22, $C$13, 100%, $E$13)</f>
        <v>8.1056000000000008</v>
      </c>
      <c r="I234" s="61">
        <f>8.1057 * CHOOSE(CONTROL!$C$22, $C$13, 100%, $E$13)</f>
        <v>8.1057000000000006</v>
      </c>
      <c r="J234" s="61">
        <f>4.1879 * CHOOSE(CONTROL!$C$22, $C$13, 100%, $E$13)</f>
        <v>4.1879</v>
      </c>
      <c r="K234" s="61">
        <f>4.188 * CHOOSE(CONTROL!$C$22, $C$13, 100%, $E$13)</f>
        <v>4.1879999999999997</v>
      </c>
    </row>
    <row r="235" spans="1:11" ht="15">
      <c r="A235" s="13">
        <v>49004</v>
      </c>
      <c r="B235" s="60">
        <f>3.9527 * CHOOSE(CONTROL!$C$22, $C$13, 100%, $E$13)</f>
        <v>3.9527000000000001</v>
      </c>
      <c r="C235" s="60">
        <f>3.9527 * CHOOSE(CONTROL!$C$22, $C$13, 100%, $E$13)</f>
        <v>3.9527000000000001</v>
      </c>
      <c r="D235" s="60">
        <f>3.9716 * CHOOSE(CONTROL!$C$22, $C$13, 100%, $E$13)</f>
        <v>3.9716</v>
      </c>
      <c r="E235" s="61">
        <f>4.234 * CHOOSE(CONTROL!$C$22, $C$13, 100%, $E$13)</f>
        <v>4.234</v>
      </c>
      <c r="F235" s="61">
        <f>4.234 * CHOOSE(CONTROL!$C$22, $C$13, 100%, $E$13)</f>
        <v>4.234</v>
      </c>
      <c r="G235" s="61">
        <f>4.2341 * CHOOSE(CONTROL!$C$22, $C$13, 100%, $E$13)</f>
        <v>4.2340999999999998</v>
      </c>
      <c r="H235" s="61">
        <f>8.1224* CHOOSE(CONTROL!$C$22, $C$13, 100%, $E$13)</f>
        <v>8.1224000000000007</v>
      </c>
      <c r="I235" s="61">
        <f>8.1226 * CHOOSE(CONTROL!$C$22, $C$13, 100%, $E$13)</f>
        <v>8.1226000000000003</v>
      </c>
      <c r="J235" s="61">
        <f>4.234 * CHOOSE(CONTROL!$C$22, $C$13, 100%, $E$13)</f>
        <v>4.234</v>
      </c>
      <c r="K235" s="61">
        <f>4.2341 * CHOOSE(CONTROL!$C$22, $C$13, 100%, $E$13)</f>
        <v>4.2340999999999998</v>
      </c>
    </row>
    <row r="236" spans="1:11" ht="15">
      <c r="A236" s="13">
        <v>49035</v>
      </c>
      <c r="B236" s="60">
        <f>3.9504 * CHOOSE(CONTROL!$C$22, $C$13, 100%, $E$13)</f>
        <v>3.9504000000000001</v>
      </c>
      <c r="C236" s="60">
        <f>3.9504 * CHOOSE(CONTROL!$C$22, $C$13, 100%, $E$13)</f>
        <v>3.9504000000000001</v>
      </c>
      <c r="D236" s="60">
        <f>3.9692 * CHOOSE(CONTROL!$C$22, $C$13, 100%, $E$13)</f>
        <v>3.9691999999999998</v>
      </c>
      <c r="E236" s="61">
        <f>4.2815 * CHOOSE(CONTROL!$C$22, $C$13, 100%, $E$13)</f>
        <v>4.2815000000000003</v>
      </c>
      <c r="F236" s="61">
        <f>4.2815 * CHOOSE(CONTROL!$C$22, $C$13, 100%, $E$13)</f>
        <v>4.2815000000000003</v>
      </c>
      <c r="G236" s="61">
        <f>4.2817 * CHOOSE(CONTROL!$C$22, $C$13, 100%, $E$13)</f>
        <v>4.2816999999999998</v>
      </c>
      <c r="H236" s="61">
        <f>8.1394* CHOOSE(CONTROL!$C$22, $C$13, 100%, $E$13)</f>
        <v>8.1394000000000002</v>
      </c>
      <c r="I236" s="61">
        <f>8.1395 * CHOOSE(CONTROL!$C$22, $C$13, 100%, $E$13)</f>
        <v>8.1395</v>
      </c>
      <c r="J236" s="61">
        <f>4.2815 * CHOOSE(CONTROL!$C$22, $C$13, 100%, $E$13)</f>
        <v>4.2815000000000003</v>
      </c>
      <c r="K236" s="61">
        <f>4.2817 * CHOOSE(CONTROL!$C$22, $C$13, 100%, $E$13)</f>
        <v>4.2816999999999998</v>
      </c>
    </row>
    <row r="237" spans="1:11" ht="15">
      <c r="A237" s="13">
        <v>49065</v>
      </c>
      <c r="B237" s="60">
        <f>3.9504 * CHOOSE(CONTROL!$C$22, $C$13, 100%, $E$13)</f>
        <v>3.9504000000000001</v>
      </c>
      <c r="C237" s="60">
        <f>3.9504 * CHOOSE(CONTROL!$C$22, $C$13, 100%, $E$13)</f>
        <v>3.9504000000000001</v>
      </c>
      <c r="D237" s="60">
        <f>3.988 * CHOOSE(CONTROL!$C$22, $C$13, 100%, $E$13)</f>
        <v>3.988</v>
      </c>
      <c r="E237" s="61">
        <f>4.3009 * CHOOSE(CONTROL!$C$22, $C$13, 100%, $E$13)</f>
        <v>4.3009000000000004</v>
      </c>
      <c r="F237" s="61">
        <f>4.3009 * CHOOSE(CONTROL!$C$22, $C$13, 100%, $E$13)</f>
        <v>4.3009000000000004</v>
      </c>
      <c r="G237" s="61">
        <f>4.3032 * CHOOSE(CONTROL!$C$22, $C$13, 100%, $E$13)</f>
        <v>4.3032000000000004</v>
      </c>
      <c r="H237" s="61">
        <f>8.1563* CHOOSE(CONTROL!$C$22, $C$13, 100%, $E$13)</f>
        <v>8.1562999999999999</v>
      </c>
      <c r="I237" s="61">
        <f>8.1586 * CHOOSE(CONTROL!$C$22, $C$13, 100%, $E$13)</f>
        <v>8.1585999999999999</v>
      </c>
      <c r="J237" s="61">
        <f>4.3009 * CHOOSE(CONTROL!$C$22, $C$13, 100%, $E$13)</f>
        <v>4.3009000000000004</v>
      </c>
      <c r="K237" s="61">
        <f>4.3032 * CHOOSE(CONTROL!$C$22, $C$13, 100%, $E$13)</f>
        <v>4.3032000000000004</v>
      </c>
    </row>
    <row r="238" spans="1:11" ht="15">
      <c r="A238" s="13">
        <v>49096</v>
      </c>
      <c r="B238" s="60">
        <f>3.9565 * CHOOSE(CONTROL!$C$22, $C$13, 100%, $E$13)</f>
        <v>3.9565000000000001</v>
      </c>
      <c r="C238" s="60">
        <f>3.9565 * CHOOSE(CONTROL!$C$22, $C$13, 100%, $E$13)</f>
        <v>3.9565000000000001</v>
      </c>
      <c r="D238" s="60">
        <f>3.9941 * CHOOSE(CONTROL!$C$22, $C$13, 100%, $E$13)</f>
        <v>3.9941</v>
      </c>
      <c r="E238" s="61">
        <f>4.2857 * CHOOSE(CONTROL!$C$22, $C$13, 100%, $E$13)</f>
        <v>4.2857000000000003</v>
      </c>
      <c r="F238" s="61">
        <f>4.2857 * CHOOSE(CONTROL!$C$22, $C$13, 100%, $E$13)</f>
        <v>4.2857000000000003</v>
      </c>
      <c r="G238" s="61">
        <f>4.288 * CHOOSE(CONTROL!$C$22, $C$13, 100%, $E$13)</f>
        <v>4.2880000000000003</v>
      </c>
      <c r="H238" s="61">
        <f>8.1733* CHOOSE(CONTROL!$C$22, $C$13, 100%, $E$13)</f>
        <v>8.1732999999999993</v>
      </c>
      <c r="I238" s="61">
        <f>8.1756 * CHOOSE(CONTROL!$C$22, $C$13, 100%, $E$13)</f>
        <v>8.1755999999999993</v>
      </c>
      <c r="J238" s="61">
        <f>4.2857 * CHOOSE(CONTROL!$C$22, $C$13, 100%, $E$13)</f>
        <v>4.2857000000000003</v>
      </c>
      <c r="K238" s="61">
        <f>4.288 * CHOOSE(CONTROL!$C$22, $C$13, 100%, $E$13)</f>
        <v>4.2880000000000003</v>
      </c>
    </row>
    <row r="239" spans="1:11" ht="15">
      <c r="A239" s="13">
        <v>49126</v>
      </c>
      <c r="B239" s="60">
        <f>4.0191 * CHOOSE(CONTROL!$C$22, $C$13, 100%, $E$13)</f>
        <v>4.0190999999999999</v>
      </c>
      <c r="C239" s="60">
        <f>4.0191 * CHOOSE(CONTROL!$C$22, $C$13, 100%, $E$13)</f>
        <v>4.0190999999999999</v>
      </c>
      <c r="D239" s="60">
        <f>4.0567 * CHOOSE(CONTROL!$C$22, $C$13, 100%, $E$13)</f>
        <v>4.0567000000000002</v>
      </c>
      <c r="E239" s="61">
        <f>4.3698 * CHOOSE(CONTROL!$C$22, $C$13, 100%, $E$13)</f>
        <v>4.3697999999999997</v>
      </c>
      <c r="F239" s="61">
        <f>4.3698 * CHOOSE(CONTROL!$C$22, $C$13, 100%, $E$13)</f>
        <v>4.3697999999999997</v>
      </c>
      <c r="G239" s="61">
        <f>4.3721 * CHOOSE(CONTROL!$C$22, $C$13, 100%, $E$13)</f>
        <v>4.3720999999999997</v>
      </c>
      <c r="H239" s="61">
        <f>8.1903* CHOOSE(CONTROL!$C$22, $C$13, 100%, $E$13)</f>
        <v>8.1903000000000006</v>
      </c>
      <c r="I239" s="61">
        <f>8.1927 * CHOOSE(CONTROL!$C$22, $C$13, 100%, $E$13)</f>
        <v>8.1927000000000003</v>
      </c>
      <c r="J239" s="61">
        <f>4.3698 * CHOOSE(CONTROL!$C$22, $C$13, 100%, $E$13)</f>
        <v>4.3697999999999997</v>
      </c>
      <c r="K239" s="61">
        <f>4.3721 * CHOOSE(CONTROL!$C$22, $C$13, 100%, $E$13)</f>
        <v>4.3720999999999997</v>
      </c>
    </row>
    <row r="240" spans="1:11" ht="15">
      <c r="A240" s="13">
        <v>49157</v>
      </c>
      <c r="B240" s="60">
        <f>4.0258 * CHOOSE(CONTROL!$C$22, $C$13, 100%, $E$13)</f>
        <v>4.0258000000000003</v>
      </c>
      <c r="C240" s="60">
        <f>4.0258 * CHOOSE(CONTROL!$C$22, $C$13, 100%, $E$13)</f>
        <v>4.0258000000000003</v>
      </c>
      <c r="D240" s="60">
        <f>4.0634 * CHOOSE(CONTROL!$C$22, $C$13, 100%, $E$13)</f>
        <v>4.0633999999999997</v>
      </c>
      <c r="E240" s="61">
        <f>4.3162 * CHOOSE(CONTROL!$C$22, $C$13, 100%, $E$13)</f>
        <v>4.3162000000000003</v>
      </c>
      <c r="F240" s="61">
        <f>4.3162 * CHOOSE(CONTROL!$C$22, $C$13, 100%, $E$13)</f>
        <v>4.3162000000000003</v>
      </c>
      <c r="G240" s="61">
        <f>4.3186 * CHOOSE(CONTROL!$C$22, $C$13, 100%, $E$13)</f>
        <v>4.3186</v>
      </c>
      <c r="H240" s="61">
        <f>8.2074* CHOOSE(CONTROL!$C$22, $C$13, 100%, $E$13)</f>
        <v>8.2073999999999998</v>
      </c>
      <c r="I240" s="61">
        <f>8.2097 * CHOOSE(CONTROL!$C$22, $C$13, 100%, $E$13)</f>
        <v>8.2096999999999998</v>
      </c>
      <c r="J240" s="61">
        <f>4.3162 * CHOOSE(CONTROL!$C$22, $C$13, 100%, $E$13)</f>
        <v>4.3162000000000003</v>
      </c>
      <c r="K240" s="61">
        <f>4.3186 * CHOOSE(CONTROL!$C$22, $C$13, 100%, $E$13)</f>
        <v>4.3186</v>
      </c>
    </row>
    <row r="241" spans="1:11" ht="15">
      <c r="A241" s="13">
        <v>49188</v>
      </c>
      <c r="B241" s="60">
        <f>4.0227 * CHOOSE(CONTROL!$C$22, $C$13, 100%, $E$13)</f>
        <v>4.0227000000000004</v>
      </c>
      <c r="C241" s="60">
        <f>4.0227 * CHOOSE(CONTROL!$C$22, $C$13, 100%, $E$13)</f>
        <v>4.0227000000000004</v>
      </c>
      <c r="D241" s="60">
        <f>4.0604 * CHOOSE(CONTROL!$C$22, $C$13, 100%, $E$13)</f>
        <v>4.0603999999999996</v>
      </c>
      <c r="E241" s="61">
        <f>4.3077 * CHOOSE(CONTROL!$C$22, $C$13, 100%, $E$13)</f>
        <v>4.3076999999999996</v>
      </c>
      <c r="F241" s="61">
        <f>4.3077 * CHOOSE(CONTROL!$C$22, $C$13, 100%, $E$13)</f>
        <v>4.3076999999999996</v>
      </c>
      <c r="G241" s="61">
        <f>4.31 * CHOOSE(CONTROL!$C$22, $C$13, 100%, $E$13)</f>
        <v>4.3099999999999996</v>
      </c>
      <c r="H241" s="61">
        <f>8.2245* CHOOSE(CONTROL!$C$22, $C$13, 100%, $E$13)</f>
        <v>8.2245000000000008</v>
      </c>
      <c r="I241" s="61">
        <f>8.2268 * CHOOSE(CONTROL!$C$22, $C$13, 100%, $E$13)</f>
        <v>8.2268000000000008</v>
      </c>
      <c r="J241" s="61">
        <f>4.3077 * CHOOSE(CONTROL!$C$22, $C$13, 100%, $E$13)</f>
        <v>4.3076999999999996</v>
      </c>
      <c r="K241" s="61">
        <f>4.31 * CHOOSE(CONTROL!$C$22, $C$13, 100%, $E$13)</f>
        <v>4.3099999999999996</v>
      </c>
    </row>
    <row r="242" spans="1:11" ht="15">
      <c r="A242" s="13">
        <v>49218</v>
      </c>
      <c r="B242" s="60">
        <f>4.0181 * CHOOSE(CONTROL!$C$22, $C$13, 100%, $E$13)</f>
        <v>4.0180999999999996</v>
      </c>
      <c r="C242" s="60">
        <f>4.0181 * CHOOSE(CONTROL!$C$22, $C$13, 100%, $E$13)</f>
        <v>4.0180999999999996</v>
      </c>
      <c r="D242" s="60">
        <f>4.0369 * CHOOSE(CONTROL!$C$22, $C$13, 100%, $E$13)</f>
        <v>4.0369000000000002</v>
      </c>
      <c r="E242" s="61">
        <f>4.3201 * CHOOSE(CONTROL!$C$22, $C$13, 100%, $E$13)</f>
        <v>4.3201000000000001</v>
      </c>
      <c r="F242" s="61">
        <f>4.3201 * CHOOSE(CONTROL!$C$22, $C$13, 100%, $E$13)</f>
        <v>4.3201000000000001</v>
      </c>
      <c r="G242" s="61">
        <f>4.3203 * CHOOSE(CONTROL!$C$22, $C$13, 100%, $E$13)</f>
        <v>4.3202999999999996</v>
      </c>
      <c r="H242" s="61">
        <f>8.2416* CHOOSE(CONTROL!$C$22, $C$13, 100%, $E$13)</f>
        <v>8.2416</v>
      </c>
      <c r="I242" s="61">
        <f>8.2418 * CHOOSE(CONTROL!$C$22, $C$13, 100%, $E$13)</f>
        <v>8.2417999999999996</v>
      </c>
      <c r="J242" s="61">
        <f>4.3201 * CHOOSE(CONTROL!$C$22, $C$13, 100%, $E$13)</f>
        <v>4.3201000000000001</v>
      </c>
      <c r="K242" s="61">
        <f>4.3203 * CHOOSE(CONTROL!$C$22, $C$13, 100%, $E$13)</f>
        <v>4.3202999999999996</v>
      </c>
    </row>
    <row r="243" spans="1:11" ht="15">
      <c r="A243" s="13">
        <v>49249</v>
      </c>
      <c r="B243" s="60">
        <f>4.0211 * CHOOSE(CONTROL!$C$22, $C$13, 100%, $E$13)</f>
        <v>4.0210999999999997</v>
      </c>
      <c r="C243" s="60">
        <f>4.0211 * CHOOSE(CONTROL!$C$22, $C$13, 100%, $E$13)</f>
        <v>4.0210999999999997</v>
      </c>
      <c r="D243" s="60">
        <f>4.0399 * CHOOSE(CONTROL!$C$22, $C$13, 100%, $E$13)</f>
        <v>4.0399000000000003</v>
      </c>
      <c r="E243" s="61">
        <f>4.3352 * CHOOSE(CONTROL!$C$22, $C$13, 100%, $E$13)</f>
        <v>4.3352000000000004</v>
      </c>
      <c r="F243" s="61">
        <f>4.3352 * CHOOSE(CONTROL!$C$22, $C$13, 100%, $E$13)</f>
        <v>4.3352000000000004</v>
      </c>
      <c r="G243" s="61">
        <f>4.3354 * CHOOSE(CONTROL!$C$22, $C$13, 100%, $E$13)</f>
        <v>4.3353999999999999</v>
      </c>
      <c r="H243" s="61">
        <f>8.2588* CHOOSE(CONTROL!$C$22, $C$13, 100%, $E$13)</f>
        <v>8.2588000000000008</v>
      </c>
      <c r="I243" s="61">
        <f>8.259 * CHOOSE(CONTROL!$C$22, $C$13, 100%, $E$13)</f>
        <v>8.2590000000000003</v>
      </c>
      <c r="J243" s="61">
        <f>4.3352 * CHOOSE(CONTROL!$C$22, $C$13, 100%, $E$13)</f>
        <v>4.3352000000000004</v>
      </c>
      <c r="K243" s="61">
        <f>4.3354 * CHOOSE(CONTROL!$C$22, $C$13, 100%, $E$13)</f>
        <v>4.3353999999999999</v>
      </c>
    </row>
    <row r="244" spans="1:11" ht="15">
      <c r="A244" s="13">
        <v>49279</v>
      </c>
      <c r="B244" s="60">
        <f>4.0211 * CHOOSE(CONTROL!$C$22, $C$13, 100%, $E$13)</f>
        <v>4.0210999999999997</v>
      </c>
      <c r="C244" s="60">
        <f>4.0211 * CHOOSE(CONTROL!$C$22, $C$13, 100%, $E$13)</f>
        <v>4.0210999999999997</v>
      </c>
      <c r="D244" s="60">
        <f>4.0399 * CHOOSE(CONTROL!$C$22, $C$13, 100%, $E$13)</f>
        <v>4.0399000000000003</v>
      </c>
      <c r="E244" s="61">
        <f>4.3028 * CHOOSE(CONTROL!$C$22, $C$13, 100%, $E$13)</f>
        <v>4.3028000000000004</v>
      </c>
      <c r="F244" s="61">
        <f>4.3028 * CHOOSE(CONTROL!$C$22, $C$13, 100%, $E$13)</f>
        <v>4.3028000000000004</v>
      </c>
      <c r="G244" s="61">
        <f>4.303 * CHOOSE(CONTROL!$C$22, $C$13, 100%, $E$13)</f>
        <v>4.3029999999999999</v>
      </c>
      <c r="H244" s="61">
        <f>8.276* CHOOSE(CONTROL!$C$22, $C$13, 100%, $E$13)</f>
        <v>8.2759999999999998</v>
      </c>
      <c r="I244" s="61">
        <f>8.2762 * CHOOSE(CONTROL!$C$22, $C$13, 100%, $E$13)</f>
        <v>8.2761999999999993</v>
      </c>
      <c r="J244" s="61">
        <f>4.3028 * CHOOSE(CONTROL!$C$22, $C$13, 100%, $E$13)</f>
        <v>4.3028000000000004</v>
      </c>
      <c r="K244" s="61">
        <f>4.303 * CHOOSE(CONTROL!$C$22, $C$13, 100%, $E$13)</f>
        <v>4.3029999999999999</v>
      </c>
    </row>
    <row r="245" spans="1:11" ht="15">
      <c r="A245" s="13">
        <v>49310</v>
      </c>
      <c r="B245" s="60">
        <f>4.0548 * CHOOSE(CONTROL!$C$22, $C$13, 100%, $E$13)</f>
        <v>4.0548000000000002</v>
      </c>
      <c r="C245" s="60">
        <f>4.0548 * CHOOSE(CONTROL!$C$22, $C$13, 100%, $E$13)</f>
        <v>4.0548000000000002</v>
      </c>
      <c r="D245" s="60">
        <f>4.0736 * CHOOSE(CONTROL!$C$22, $C$13, 100%, $E$13)</f>
        <v>4.0735999999999999</v>
      </c>
      <c r="E245" s="61">
        <f>4.3682 * CHOOSE(CONTROL!$C$22, $C$13, 100%, $E$13)</f>
        <v>4.3681999999999999</v>
      </c>
      <c r="F245" s="61">
        <f>4.3682 * CHOOSE(CONTROL!$C$22, $C$13, 100%, $E$13)</f>
        <v>4.3681999999999999</v>
      </c>
      <c r="G245" s="61">
        <f>4.3683 * CHOOSE(CONTROL!$C$22, $C$13, 100%, $E$13)</f>
        <v>4.3682999999999996</v>
      </c>
      <c r="H245" s="61">
        <f>8.2933* CHOOSE(CONTROL!$C$22, $C$13, 100%, $E$13)</f>
        <v>8.2933000000000003</v>
      </c>
      <c r="I245" s="61">
        <f>8.2934 * CHOOSE(CONTROL!$C$22, $C$13, 100%, $E$13)</f>
        <v>8.2934000000000001</v>
      </c>
      <c r="J245" s="61">
        <f>4.3682 * CHOOSE(CONTROL!$C$22, $C$13, 100%, $E$13)</f>
        <v>4.3681999999999999</v>
      </c>
      <c r="K245" s="61">
        <f>4.3683 * CHOOSE(CONTROL!$C$22, $C$13, 100%, $E$13)</f>
        <v>4.3682999999999996</v>
      </c>
    </row>
    <row r="246" spans="1:11" ht="15">
      <c r="A246" s="13">
        <v>49341</v>
      </c>
      <c r="B246" s="60">
        <f>4.0517 * CHOOSE(CONTROL!$C$22, $C$13, 100%, $E$13)</f>
        <v>4.0517000000000003</v>
      </c>
      <c r="C246" s="60">
        <f>4.0517 * CHOOSE(CONTROL!$C$22, $C$13, 100%, $E$13)</f>
        <v>4.0517000000000003</v>
      </c>
      <c r="D246" s="60">
        <f>4.0706 * CHOOSE(CONTROL!$C$22, $C$13, 100%, $E$13)</f>
        <v>4.0705999999999998</v>
      </c>
      <c r="E246" s="61">
        <f>4.3031 * CHOOSE(CONTROL!$C$22, $C$13, 100%, $E$13)</f>
        <v>4.3030999999999997</v>
      </c>
      <c r="F246" s="61">
        <f>4.3031 * CHOOSE(CONTROL!$C$22, $C$13, 100%, $E$13)</f>
        <v>4.3030999999999997</v>
      </c>
      <c r="G246" s="61">
        <f>4.3032 * CHOOSE(CONTROL!$C$22, $C$13, 100%, $E$13)</f>
        <v>4.3032000000000004</v>
      </c>
      <c r="H246" s="61">
        <f>8.3105* CHOOSE(CONTROL!$C$22, $C$13, 100%, $E$13)</f>
        <v>8.3104999999999993</v>
      </c>
      <c r="I246" s="61">
        <f>8.3107 * CHOOSE(CONTROL!$C$22, $C$13, 100%, $E$13)</f>
        <v>8.3107000000000006</v>
      </c>
      <c r="J246" s="61">
        <f>4.3031 * CHOOSE(CONTROL!$C$22, $C$13, 100%, $E$13)</f>
        <v>4.3030999999999997</v>
      </c>
      <c r="K246" s="61">
        <f>4.3032 * CHOOSE(CONTROL!$C$22, $C$13, 100%, $E$13)</f>
        <v>4.3032000000000004</v>
      </c>
    </row>
    <row r="247" spans="1:11" ht="15">
      <c r="A247" s="13">
        <v>49369</v>
      </c>
      <c r="B247" s="60">
        <f>4.0487 * CHOOSE(CONTROL!$C$22, $C$13, 100%, $E$13)</f>
        <v>4.0487000000000002</v>
      </c>
      <c r="C247" s="60">
        <f>4.0487 * CHOOSE(CONTROL!$C$22, $C$13, 100%, $E$13)</f>
        <v>4.0487000000000002</v>
      </c>
      <c r="D247" s="60">
        <f>4.0675 * CHOOSE(CONTROL!$C$22, $C$13, 100%, $E$13)</f>
        <v>4.0674999999999999</v>
      </c>
      <c r="E247" s="61">
        <f>4.3506 * CHOOSE(CONTROL!$C$22, $C$13, 100%, $E$13)</f>
        <v>4.3506</v>
      </c>
      <c r="F247" s="61">
        <f>4.3506 * CHOOSE(CONTROL!$C$22, $C$13, 100%, $E$13)</f>
        <v>4.3506</v>
      </c>
      <c r="G247" s="61">
        <f>4.3508 * CHOOSE(CONTROL!$C$22, $C$13, 100%, $E$13)</f>
        <v>4.3507999999999996</v>
      </c>
      <c r="H247" s="61">
        <f>8.3278* CHOOSE(CONTROL!$C$22, $C$13, 100%, $E$13)</f>
        <v>8.3277999999999999</v>
      </c>
      <c r="I247" s="61">
        <f>8.328 * CHOOSE(CONTROL!$C$22, $C$13, 100%, $E$13)</f>
        <v>8.3279999999999994</v>
      </c>
      <c r="J247" s="61">
        <f>4.3506 * CHOOSE(CONTROL!$C$22, $C$13, 100%, $E$13)</f>
        <v>4.3506</v>
      </c>
      <c r="K247" s="61">
        <f>4.3508 * CHOOSE(CONTROL!$C$22, $C$13, 100%, $E$13)</f>
        <v>4.3507999999999996</v>
      </c>
    </row>
    <row r="248" spans="1:11" ht="15">
      <c r="A248" s="13">
        <v>49400</v>
      </c>
      <c r="B248" s="60">
        <f>4.0465 * CHOOSE(CONTROL!$C$22, $C$13, 100%, $E$13)</f>
        <v>4.0465</v>
      </c>
      <c r="C248" s="60">
        <f>4.0465 * CHOOSE(CONTROL!$C$22, $C$13, 100%, $E$13)</f>
        <v>4.0465</v>
      </c>
      <c r="D248" s="60">
        <f>4.0653 * CHOOSE(CONTROL!$C$22, $C$13, 100%, $E$13)</f>
        <v>4.0652999999999997</v>
      </c>
      <c r="E248" s="61">
        <f>4.3997 * CHOOSE(CONTROL!$C$22, $C$13, 100%, $E$13)</f>
        <v>4.3997000000000002</v>
      </c>
      <c r="F248" s="61">
        <f>4.3997 * CHOOSE(CONTROL!$C$22, $C$13, 100%, $E$13)</f>
        <v>4.3997000000000002</v>
      </c>
      <c r="G248" s="61">
        <f>4.3999 * CHOOSE(CONTROL!$C$22, $C$13, 100%, $E$13)</f>
        <v>4.3998999999999997</v>
      </c>
      <c r="H248" s="61">
        <f>8.3452* CHOOSE(CONTROL!$C$22, $C$13, 100%, $E$13)</f>
        <v>8.3452000000000002</v>
      </c>
      <c r="I248" s="61">
        <f>8.3454 * CHOOSE(CONTROL!$C$22, $C$13, 100%, $E$13)</f>
        <v>8.3453999999999997</v>
      </c>
      <c r="J248" s="61">
        <f>4.3997 * CHOOSE(CONTROL!$C$22, $C$13, 100%, $E$13)</f>
        <v>4.3997000000000002</v>
      </c>
      <c r="K248" s="61">
        <f>4.3999 * CHOOSE(CONTROL!$C$22, $C$13, 100%, $E$13)</f>
        <v>4.3998999999999997</v>
      </c>
    </row>
    <row r="249" spans="1:11" ht="15">
      <c r="A249" s="13">
        <v>49430</v>
      </c>
      <c r="B249" s="60">
        <f>4.0465 * CHOOSE(CONTROL!$C$22, $C$13, 100%, $E$13)</f>
        <v>4.0465</v>
      </c>
      <c r="C249" s="60">
        <f>4.0465 * CHOOSE(CONTROL!$C$22, $C$13, 100%, $E$13)</f>
        <v>4.0465</v>
      </c>
      <c r="D249" s="60">
        <f>4.0841 * CHOOSE(CONTROL!$C$22, $C$13, 100%, $E$13)</f>
        <v>4.0841000000000003</v>
      </c>
      <c r="E249" s="61">
        <f>4.4197 * CHOOSE(CONTROL!$C$22, $C$13, 100%, $E$13)</f>
        <v>4.4196999999999997</v>
      </c>
      <c r="F249" s="61">
        <f>4.4197 * CHOOSE(CONTROL!$C$22, $C$13, 100%, $E$13)</f>
        <v>4.4196999999999997</v>
      </c>
      <c r="G249" s="61">
        <f>4.422 * CHOOSE(CONTROL!$C$22, $C$13, 100%, $E$13)</f>
        <v>4.4219999999999997</v>
      </c>
      <c r="H249" s="61">
        <f>8.3626* CHOOSE(CONTROL!$C$22, $C$13, 100%, $E$13)</f>
        <v>8.3626000000000005</v>
      </c>
      <c r="I249" s="61">
        <f>8.3649 * CHOOSE(CONTROL!$C$22, $C$13, 100%, $E$13)</f>
        <v>8.3649000000000004</v>
      </c>
      <c r="J249" s="61">
        <f>4.4197 * CHOOSE(CONTROL!$C$22, $C$13, 100%, $E$13)</f>
        <v>4.4196999999999997</v>
      </c>
      <c r="K249" s="61">
        <f>4.422 * CHOOSE(CONTROL!$C$22, $C$13, 100%, $E$13)</f>
        <v>4.4219999999999997</v>
      </c>
    </row>
    <row r="250" spans="1:11" ht="15">
      <c r="A250" s="13">
        <v>49461</v>
      </c>
      <c r="B250" s="60">
        <f>4.0525 * CHOOSE(CONTROL!$C$22, $C$13, 100%, $E$13)</f>
        <v>4.0525000000000002</v>
      </c>
      <c r="C250" s="60">
        <f>4.0525 * CHOOSE(CONTROL!$C$22, $C$13, 100%, $E$13)</f>
        <v>4.0525000000000002</v>
      </c>
      <c r="D250" s="60">
        <f>4.0902 * CHOOSE(CONTROL!$C$22, $C$13, 100%, $E$13)</f>
        <v>4.0902000000000003</v>
      </c>
      <c r="E250" s="61">
        <f>4.4039 * CHOOSE(CONTROL!$C$22, $C$13, 100%, $E$13)</f>
        <v>4.4039000000000001</v>
      </c>
      <c r="F250" s="61">
        <f>4.4039 * CHOOSE(CONTROL!$C$22, $C$13, 100%, $E$13)</f>
        <v>4.4039000000000001</v>
      </c>
      <c r="G250" s="61">
        <f>4.4062 * CHOOSE(CONTROL!$C$22, $C$13, 100%, $E$13)</f>
        <v>4.4062000000000001</v>
      </c>
      <c r="H250" s="61">
        <f>8.38* CHOOSE(CONTROL!$C$22, $C$13, 100%, $E$13)</f>
        <v>8.3800000000000008</v>
      </c>
      <c r="I250" s="61">
        <f>8.3823 * CHOOSE(CONTROL!$C$22, $C$13, 100%, $E$13)</f>
        <v>8.3823000000000008</v>
      </c>
      <c r="J250" s="61">
        <f>4.4039 * CHOOSE(CONTROL!$C$22, $C$13, 100%, $E$13)</f>
        <v>4.4039000000000001</v>
      </c>
      <c r="K250" s="61">
        <f>4.4062 * CHOOSE(CONTROL!$C$22, $C$13, 100%, $E$13)</f>
        <v>4.4062000000000001</v>
      </c>
    </row>
    <row r="251" spans="1:11" ht="15">
      <c r="A251" s="13">
        <v>49491</v>
      </c>
      <c r="B251" s="60">
        <f>4.1138 * CHOOSE(CONTROL!$C$22, $C$13, 100%, $E$13)</f>
        <v>4.1138000000000003</v>
      </c>
      <c r="C251" s="60">
        <f>4.1138 * CHOOSE(CONTROL!$C$22, $C$13, 100%, $E$13)</f>
        <v>4.1138000000000003</v>
      </c>
      <c r="D251" s="60">
        <f>4.1514 * CHOOSE(CONTROL!$C$22, $C$13, 100%, $E$13)</f>
        <v>4.1513999999999998</v>
      </c>
      <c r="E251" s="61">
        <f>4.4932 * CHOOSE(CONTROL!$C$22, $C$13, 100%, $E$13)</f>
        <v>4.4931999999999999</v>
      </c>
      <c r="F251" s="61">
        <f>4.4932 * CHOOSE(CONTROL!$C$22, $C$13, 100%, $E$13)</f>
        <v>4.4931999999999999</v>
      </c>
      <c r="G251" s="61">
        <f>4.4955 * CHOOSE(CONTROL!$C$22, $C$13, 100%, $E$13)</f>
        <v>4.4954999999999998</v>
      </c>
      <c r="H251" s="61">
        <f>8.3975* CHOOSE(CONTROL!$C$22, $C$13, 100%, $E$13)</f>
        <v>8.3975000000000009</v>
      </c>
      <c r="I251" s="61">
        <f>8.3998 * CHOOSE(CONTROL!$C$22, $C$13, 100%, $E$13)</f>
        <v>8.3998000000000008</v>
      </c>
      <c r="J251" s="61">
        <f>4.4932 * CHOOSE(CONTROL!$C$22, $C$13, 100%, $E$13)</f>
        <v>4.4931999999999999</v>
      </c>
      <c r="K251" s="61">
        <f>4.4955 * CHOOSE(CONTROL!$C$22, $C$13, 100%, $E$13)</f>
        <v>4.4954999999999998</v>
      </c>
    </row>
    <row r="252" spans="1:11" ht="15">
      <c r="A252" s="13">
        <v>49522</v>
      </c>
      <c r="B252" s="60">
        <f>4.1205 * CHOOSE(CONTROL!$C$22, $C$13, 100%, $E$13)</f>
        <v>4.1204999999999998</v>
      </c>
      <c r="C252" s="60">
        <f>4.1205 * CHOOSE(CONTROL!$C$22, $C$13, 100%, $E$13)</f>
        <v>4.1204999999999998</v>
      </c>
      <c r="D252" s="60">
        <f>4.1581 * CHOOSE(CONTROL!$C$22, $C$13, 100%, $E$13)</f>
        <v>4.1581000000000001</v>
      </c>
      <c r="E252" s="61">
        <f>4.4378 * CHOOSE(CONTROL!$C$22, $C$13, 100%, $E$13)</f>
        <v>4.4378000000000002</v>
      </c>
      <c r="F252" s="61">
        <f>4.4378 * CHOOSE(CONTROL!$C$22, $C$13, 100%, $E$13)</f>
        <v>4.4378000000000002</v>
      </c>
      <c r="G252" s="61">
        <f>4.4402 * CHOOSE(CONTROL!$C$22, $C$13, 100%, $E$13)</f>
        <v>4.4401999999999999</v>
      </c>
      <c r="H252" s="61">
        <f>8.415* CHOOSE(CONTROL!$C$22, $C$13, 100%, $E$13)</f>
        <v>8.4149999999999991</v>
      </c>
      <c r="I252" s="61">
        <f>8.4173 * CHOOSE(CONTROL!$C$22, $C$13, 100%, $E$13)</f>
        <v>8.4172999999999991</v>
      </c>
      <c r="J252" s="61">
        <f>4.4378 * CHOOSE(CONTROL!$C$22, $C$13, 100%, $E$13)</f>
        <v>4.4378000000000002</v>
      </c>
      <c r="K252" s="61">
        <f>4.4402 * CHOOSE(CONTROL!$C$22, $C$13, 100%, $E$13)</f>
        <v>4.4401999999999999</v>
      </c>
    </row>
    <row r="253" spans="1:11" ht="15">
      <c r="A253" s="13">
        <v>49553</v>
      </c>
      <c r="B253" s="60">
        <f>4.1174 * CHOOSE(CONTROL!$C$22, $C$13, 100%, $E$13)</f>
        <v>4.1173999999999999</v>
      </c>
      <c r="C253" s="60">
        <f>4.1174 * CHOOSE(CONTROL!$C$22, $C$13, 100%, $E$13)</f>
        <v>4.1173999999999999</v>
      </c>
      <c r="D253" s="60">
        <f>4.1551 * CHOOSE(CONTROL!$C$22, $C$13, 100%, $E$13)</f>
        <v>4.1551</v>
      </c>
      <c r="E253" s="61">
        <f>4.4291 * CHOOSE(CONTROL!$C$22, $C$13, 100%, $E$13)</f>
        <v>4.4291</v>
      </c>
      <c r="F253" s="61">
        <f>4.4291 * CHOOSE(CONTROL!$C$22, $C$13, 100%, $E$13)</f>
        <v>4.4291</v>
      </c>
      <c r="G253" s="61">
        <f>4.4314 * CHOOSE(CONTROL!$C$22, $C$13, 100%, $E$13)</f>
        <v>4.4314</v>
      </c>
      <c r="H253" s="61">
        <f>8.4325* CHOOSE(CONTROL!$C$22, $C$13, 100%, $E$13)</f>
        <v>8.4324999999999992</v>
      </c>
      <c r="I253" s="61">
        <f>8.4348 * CHOOSE(CONTROL!$C$22, $C$13, 100%, $E$13)</f>
        <v>8.4347999999999992</v>
      </c>
      <c r="J253" s="61">
        <f>4.4291 * CHOOSE(CONTROL!$C$22, $C$13, 100%, $E$13)</f>
        <v>4.4291</v>
      </c>
      <c r="K253" s="61">
        <f>4.4314 * CHOOSE(CONTROL!$C$22, $C$13, 100%, $E$13)</f>
        <v>4.4314</v>
      </c>
    </row>
    <row r="254" spans="1:11" ht="15">
      <c r="A254" s="13">
        <v>49583</v>
      </c>
      <c r="B254" s="60">
        <f>4.1131 * CHOOSE(CONTROL!$C$22, $C$13, 100%, $E$13)</f>
        <v>4.1131000000000002</v>
      </c>
      <c r="C254" s="60">
        <f>4.1131 * CHOOSE(CONTROL!$C$22, $C$13, 100%, $E$13)</f>
        <v>4.1131000000000002</v>
      </c>
      <c r="D254" s="60">
        <f>4.1319 * CHOOSE(CONTROL!$C$22, $C$13, 100%, $E$13)</f>
        <v>4.1318999999999999</v>
      </c>
      <c r="E254" s="61">
        <f>4.4423 * CHOOSE(CONTROL!$C$22, $C$13, 100%, $E$13)</f>
        <v>4.4423000000000004</v>
      </c>
      <c r="F254" s="61">
        <f>4.4423 * CHOOSE(CONTROL!$C$22, $C$13, 100%, $E$13)</f>
        <v>4.4423000000000004</v>
      </c>
      <c r="G254" s="61">
        <f>4.4425 * CHOOSE(CONTROL!$C$22, $C$13, 100%, $E$13)</f>
        <v>4.4424999999999999</v>
      </c>
      <c r="H254" s="61">
        <f>8.4501* CHOOSE(CONTROL!$C$22, $C$13, 100%, $E$13)</f>
        <v>8.4501000000000008</v>
      </c>
      <c r="I254" s="61">
        <f>8.4502 * CHOOSE(CONTROL!$C$22, $C$13, 100%, $E$13)</f>
        <v>8.4502000000000006</v>
      </c>
      <c r="J254" s="61">
        <f>4.4423 * CHOOSE(CONTROL!$C$22, $C$13, 100%, $E$13)</f>
        <v>4.4423000000000004</v>
      </c>
      <c r="K254" s="61">
        <f>4.4425 * CHOOSE(CONTROL!$C$22, $C$13, 100%, $E$13)</f>
        <v>4.4424999999999999</v>
      </c>
    </row>
    <row r="255" spans="1:11" ht="15">
      <c r="A255" s="13">
        <v>49614</v>
      </c>
      <c r="B255" s="60">
        <f>4.1162 * CHOOSE(CONTROL!$C$22, $C$13, 100%, $E$13)</f>
        <v>4.1162000000000001</v>
      </c>
      <c r="C255" s="60">
        <f>4.1162 * CHOOSE(CONTROL!$C$22, $C$13, 100%, $E$13)</f>
        <v>4.1162000000000001</v>
      </c>
      <c r="D255" s="60">
        <f>4.135 * CHOOSE(CONTROL!$C$22, $C$13, 100%, $E$13)</f>
        <v>4.1349999999999998</v>
      </c>
      <c r="E255" s="61">
        <f>4.4578 * CHOOSE(CONTROL!$C$22, $C$13, 100%, $E$13)</f>
        <v>4.4577999999999998</v>
      </c>
      <c r="F255" s="61">
        <f>4.4578 * CHOOSE(CONTROL!$C$22, $C$13, 100%, $E$13)</f>
        <v>4.4577999999999998</v>
      </c>
      <c r="G255" s="61">
        <f>4.4579 * CHOOSE(CONTROL!$C$22, $C$13, 100%, $E$13)</f>
        <v>4.4579000000000004</v>
      </c>
      <c r="H255" s="61">
        <f>8.4677* CHOOSE(CONTROL!$C$22, $C$13, 100%, $E$13)</f>
        <v>8.4677000000000007</v>
      </c>
      <c r="I255" s="61">
        <f>8.4678 * CHOOSE(CONTROL!$C$22, $C$13, 100%, $E$13)</f>
        <v>8.4678000000000004</v>
      </c>
      <c r="J255" s="61">
        <f>4.4578 * CHOOSE(CONTROL!$C$22, $C$13, 100%, $E$13)</f>
        <v>4.4577999999999998</v>
      </c>
      <c r="K255" s="61">
        <f>4.4579 * CHOOSE(CONTROL!$C$22, $C$13, 100%, $E$13)</f>
        <v>4.4579000000000004</v>
      </c>
    </row>
    <row r="256" spans="1:11" ht="15">
      <c r="A256" s="13">
        <v>49644</v>
      </c>
      <c r="B256" s="60">
        <f>4.1162 * CHOOSE(CONTROL!$C$22, $C$13, 100%, $E$13)</f>
        <v>4.1162000000000001</v>
      </c>
      <c r="C256" s="60">
        <f>4.1162 * CHOOSE(CONTROL!$C$22, $C$13, 100%, $E$13)</f>
        <v>4.1162000000000001</v>
      </c>
      <c r="D256" s="60">
        <f>4.135 * CHOOSE(CONTROL!$C$22, $C$13, 100%, $E$13)</f>
        <v>4.1349999999999998</v>
      </c>
      <c r="E256" s="61">
        <f>4.4244 * CHOOSE(CONTROL!$C$22, $C$13, 100%, $E$13)</f>
        <v>4.4244000000000003</v>
      </c>
      <c r="F256" s="61">
        <f>4.4244 * CHOOSE(CONTROL!$C$22, $C$13, 100%, $E$13)</f>
        <v>4.4244000000000003</v>
      </c>
      <c r="G256" s="61">
        <f>4.4246 * CHOOSE(CONTROL!$C$22, $C$13, 100%, $E$13)</f>
        <v>4.4245999999999999</v>
      </c>
      <c r="H256" s="61">
        <f>8.4853* CHOOSE(CONTROL!$C$22, $C$13, 100%, $E$13)</f>
        <v>8.4853000000000005</v>
      </c>
      <c r="I256" s="61">
        <f>8.4855 * CHOOSE(CONTROL!$C$22, $C$13, 100%, $E$13)</f>
        <v>8.4855</v>
      </c>
      <c r="J256" s="61">
        <f>4.4244 * CHOOSE(CONTROL!$C$22, $C$13, 100%, $E$13)</f>
        <v>4.4244000000000003</v>
      </c>
      <c r="K256" s="61">
        <f>4.4246 * CHOOSE(CONTROL!$C$22, $C$13, 100%, $E$13)</f>
        <v>4.4245999999999999</v>
      </c>
    </row>
    <row r="257" spans="1:11" ht="15">
      <c r="A257" s="13">
        <v>49675</v>
      </c>
      <c r="B257" s="60">
        <f>4.1517 * CHOOSE(CONTROL!$C$22, $C$13, 100%, $E$13)</f>
        <v>4.1516999999999999</v>
      </c>
      <c r="C257" s="60">
        <f>4.1517 * CHOOSE(CONTROL!$C$22, $C$13, 100%, $E$13)</f>
        <v>4.1516999999999999</v>
      </c>
      <c r="D257" s="60">
        <f>4.1705 * CHOOSE(CONTROL!$C$22, $C$13, 100%, $E$13)</f>
        <v>4.1704999999999997</v>
      </c>
      <c r="E257" s="61">
        <f>4.4874 * CHOOSE(CONTROL!$C$22, $C$13, 100%, $E$13)</f>
        <v>4.4874000000000001</v>
      </c>
      <c r="F257" s="61">
        <f>4.4874 * CHOOSE(CONTROL!$C$22, $C$13, 100%, $E$13)</f>
        <v>4.4874000000000001</v>
      </c>
      <c r="G257" s="61">
        <f>4.4876 * CHOOSE(CONTROL!$C$22, $C$13, 100%, $E$13)</f>
        <v>4.4875999999999996</v>
      </c>
      <c r="H257" s="61">
        <f>8.503* CHOOSE(CONTROL!$C$22, $C$13, 100%, $E$13)</f>
        <v>8.5030000000000001</v>
      </c>
      <c r="I257" s="61">
        <f>8.5032 * CHOOSE(CONTROL!$C$22, $C$13, 100%, $E$13)</f>
        <v>8.5031999999999996</v>
      </c>
      <c r="J257" s="61">
        <f>4.4874 * CHOOSE(CONTROL!$C$22, $C$13, 100%, $E$13)</f>
        <v>4.4874000000000001</v>
      </c>
      <c r="K257" s="61">
        <f>4.4876 * CHOOSE(CONTROL!$C$22, $C$13, 100%, $E$13)</f>
        <v>4.4875999999999996</v>
      </c>
    </row>
    <row r="258" spans="1:11" ht="15">
      <c r="A258" s="13">
        <v>49706</v>
      </c>
      <c r="B258" s="60">
        <f>4.1486 * CHOOSE(CONTROL!$C$22, $C$13, 100%, $E$13)</f>
        <v>4.1486000000000001</v>
      </c>
      <c r="C258" s="60">
        <f>4.1486 * CHOOSE(CONTROL!$C$22, $C$13, 100%, $E$13)</f>
        <v>4.1486000000000001</v>
      </c>
      <c r="D258" s="60">
        <f>4.1674 * CHOOSE(CONTROL!$C$22, $C$13, 100%, $E$13)</f>
        <v>4.1673999999999998</v>
      </c>
      <c r="E258" s="61">
        <f>4.4208 * CHOOSE(CONTROL!$C$22, $C$13, 100%, $E$13)</f>
        <v>4.4207999999999998</v>
      </c>
      <c r="F258" s="61">
        <f>4.4208 * CHOOSE(CONTROL!$C$22, $C$13, 100%, $E$13)</f>
        <v>4.4207999999999998</v>
      </c>
      <c r="G258" s="61">
        <f>4.4209 * CHOOSE(CONTROL!$C$22, $C$13, 100%, $E$13)</f>
        <v>4.4208999999999996</v>
      </c>
      <c r="H258" s="61">
        <f>8.5207* CHOOSE(CONTROL!$C$22, $C$13, 100%, $E$13)</f>
        <v>8.5206999999999997</v>
      </c>
      <c r="I258" s="61">
        <f>8.5209 * CHOOSE(CONTROL!$C$22, $C$13, 100%, $E$13)</f>
        <v>8.5208999999999993</v>
      </c>
      <c r="J258" s="61">
        <f>4.4208 * CHOOSE(CONTROL!$C$22, $C$13, 100%, $E$13)</f>
        <v>4.4207999999999998</v>
      </c>
      <c r="K258" s="61">
        <f>4.4209 * CHOOSE(CONTROL!$C$22, $C$13, 100%, $E$13)</f>
        <v>4.4208999999999996</v>
      </c>
    </row>
    <row r="259" spans="1:11" ht="15">
      <c r="A259" s="13">
        <v>49735</v>
      </c>
      <c r="B259" s="60">
        <f>4.1456 * CHOOSE(CONTROL!$C$22, $C$13, 100%, $E$13)</f>
        <v>4.1456</v>
      </c>
      <c r="C259" s="60">
        <f>4.1456 * CHOOSE(CONTROL!$C$22, $C$13, 100%, $E$13)</f>
        <v>4.1456</v>
      </c>
      <c r="D259" s="60">
        <f>4.1644 * CHOOSE(CONTROL!$C$22, $C$13, 100%, $E$13)</f>
        <v>4.1643999999999997</v>
      </c>
      <c r="E259" s="61">
        <f>4.4695 * CHOOSE(CONTROL!$C$22, $C$13, 100%, $E$13)</f>
        <v>4.4695</v>
      </c>
      <c r="F259" s="61">
        <f>4.4695 * CHOOSE(CONTROL!$C$22, $C$13, 100%, $E$13)</f>
        <v>4.4695</v>
      </c>
      <c r="G259" s="61">
        <f>4.4697 * CHOOSE(CONTROL!$C$22, $C$13, 100%, $E$13)</f>
        <v>4.4696999999999996</v>
      </c>
      <c r="H259" s="61">
        <f>8.5384* CHOOSE(CONTROL!$C$22, $C$13, 100%, $E$13)</f>
        <v>8.5383999999999993</v>
      </c>
      <c r="I259" s="61">
        <f>8.5386 * CHOOSE(CONTROL!$C$22, $C$13, 100%, $E$13)</f>
        <v>8.5386000000000006</v>
      </c>
      <c r="J259" s="61">
        <f>4.4695 * CHOOSE(CONTROL!$C$22, $C$13, 100%, $E$13)</f>
        <v>4.4695</v>
      </c>
      <c r="K259" s="61">
        <f>4.4697 * CHOOSE(CONTROL!$C$22, $C$13, 100%, $E$13)</f>
        <v>4.4696999999999996</v>
      </c>
    </row>
    <row r="260" spans="1:11" ht="15">
      <c r="A260" s="13">
        <v>49766</v>
      </c>
      <c r="B260" s="60">
        <f>4.1434 * CHOOSE(CONTROL!$C$22, $C$13, 100%, $E$13)</f>
        <v>4.1433999999999997</v>
      </c>
      <c r="C260" s="60">
        <f>4.1434 * CHOOSE(CONTROL!$C$22, $C$13, 100%, $E$13)</f>
        <v>4.1433999999999997</v>
      </c>
      <c r="D260" s="60">
        <f>4.1623 * CHOOSE(CONTROL!$C$22, $C$13, 100%, $E$13)</f>
        <v>4.1623000000000001</v>
      </c>
      <c r="E260" s="61">
        <f>4.52 * CHOOSE(CONTROL!$C$22, $C$13, 100%, $E$13)</f>
        <v>4.5199999999999996</v>
      </c>
      <c r="F260" s="61">
        <f>4.52 * CHOOSE(CONTROL!$C$22, $C$13, 100%, $E$13)</f>
        <v>4.5199999999999996</v>
      </c>
      <c r="G260" s="61">
        <f>4.5201 * CHOOSE(CONTROL!$C$22, $C$13, 100%, $E$13)</f>
        <v>4.5201000000000002</v>
      </c>
      <c r="H260" s="61">
        <f>8.5562* CHOOSE(CONTROL!$C$22, $C$13, 100%, $E$13)</f>
        <v>8.5562000000000005</v>
      </c>
      <c r="I260" s="61">
        <f>8.5564 * CHOOSE(CONTROL!$C$22, $C$13, 100%, $E$13)</f>
        <v>8.5564</v>
      </c>
      <c r="J260" s="61">
        <f>4.52 * CHOOSE(CONTROL!$C$22, $C$13, 100%, $E$13)</f>
        <v>4.5199999999999996</v>
      </c>
      <c r="K260" s="61">
        <f>4.5201 * CHOOSE(CONTROL!$C$22, $C$13, 100%, $E$13)</f>
        <v>4.5201000000000002</v>
      </c>
    </row>
    <row r="261" spans="1:11" ht="15">
      <c r="A261" s="13">
        <v>49796</v>
      </c>
      <c r="B261" s="60">
        <f>4.1434 * CHOOSE(CONTROL!$C$22, $C$13, 100%, $E$13)</f>
        <v>4.1433999999999997</v>
      </c>
      <c r="C261" s="60">
        <f>4.1434 * CHOOSE(CONTROL!$C$22, $C$13, 100%, $E$13)</f>
        <v>4.1433999999999997</v>
      </c>
      <c r="D261" s="60">
        <f>4.1811 * CHOOSE(CONTROL!$C$22, $C$13, 100%, $E$13)</f>
        <v>4.1810999999999998</v>
      </c>
      <c r="E261" s="61">
        <f>4.5405 * CHOOSE(CONTROL!$C$22, $C$13, 100%, $E$13)</f>
        <v>4.5404999999999998</v>
      </c>
      <c r="F261" s="61">
        <f>4.5405 * CHOOSE(CONTROL!$C$22, $C$13, 100%, $E$13)</f>
        <v>4.5404999999999998</v>
      </c>
      <c r="G261" s="61">
        <f>4.5428 * CHOOSE(CONTROL!$C$22, $C$13, 100%, $E$13)</f>
        <v>4.5427999999999997</v>
      </c>
      <c r="H261" s="61">
        <f>8.5741* CHOOSE(CONTROL!$C$22, $C$13, 100%, $E$13)</f>
        <v>8.5740999999999996</v>
      </c>
      <c r="I261" s="61">
        <f>8.5764 * CHOOSE(CONTROL!$C$22, $C$13, 100%, $E$13)</f>
        <v>8.5763999999999996</v>
      </c>
      <c r="J261" s="61">
        <f>4.5405 * CHOOSE(CONTROL!$C$22, $C$13, 100%, $E$13)</f>
        <v>4.5404999999999998</v>
      </c>
      <c r="K261" s="61">
        <f>4.5428 * CHOOSE(CONTROL!$C$22, $C$13, 100%, $E$13)</f>
        <v>4.5427999999999997</v>
      </c>
    </row>
    <row r="262" spans="1:11" ht="15">
      <c r="A262" s="13">
        <v>49827</v>
      </c>
      <c r="B262" s="60">
        <f>4.1495 * CHOOSE(CONTROL!$C$22, $C$13, 100%, $E$13)</f>
        <v>4.1494999999999997</v>
      </c>
      <c r="C262" s="60">
        <f>4.1495 * CHOOSE(CONTROL!$C$22, $C$13, 100%, $E$13)</f>
        <v>4.1494999999999997</v>
      </c>
      <c r="D262" s="60">
        <f>4.1871 * CHOOSE(CONTROL!$C$22, $C$13, 100%, $E$13)</f>
        <v>4.1871</v>
      </c>
      <c r="E262" s="61">
        <f>4.5242 * CHOOSE(CONTROL!$C$22, $C$13, 100%, $E$13)</f>
        <v>4.5242000000000004</v>
      </c>
      <c r="F262" s="61">
        <f>4.5242 * CHOOSE(CONTROL!$C$22, $C$13, 100%, $E$13)</f>
        <v>4.5242000000000004</v>
      </c>
      <c r="G262" s="61">
        <f>4.5265 * CHOOSE(CONTROL!$C$22, $C$13, 100%, $E$13)</f>
        <v>4.5265000000000004</v>
      </c>
      <c r="H262" s="61">
        <f>8.5919* CHOOSE(CONTROL!$C$22, $C$13, 100%, $E$13)</f>
        <v>8.5919000000000008</v>
      </c>
      <c r="I262" s="61">
        <f>8.5942 * CHOOSE(CONTROL!$C$22, $C$13, 100%, $E$13)</f>
        <v>8.5942000000000007</v>
      </c>
      <c r="J262" s="61">
        <f>4.5242 * CHOOSE(CONTROL!$C$22, $C$13, 100%, $E$13)</f>
        <v>4.5242000000000004</v>
      </c>
      <c r="K262" s="61">
        <f>4.5265 * CHOOSE(CONTROL!$C$22, $C$13, 100%, $E$13)</f>
        <v>4.5265000000000004</v>
      </c>
    </row>
    <row r="263" spans="1:11" ht="15">
      <c r="A263" s="13">
        <v>49857</v>
      </c>
      <c r="B263" s="60">
        <f>4.2149 * CHOOSE(CONTROL!$C$22, $C$13, 100%, $E$13)</f>
        <v>4.2149000000000001</v>
      </c>
      <c r="C263" s="60">
        <f>4.2149 * CHOOSE(CONTROL!$C$22, $C$13, 100%, $E$13)</f>
        <v>4.2149000000000001</v>
      </c>
      <c r="D263" s="60">
        <f>4.2526 * CHOOSE(CONTROL!$C$22, $C$13, 100%, $E$13)</f>
        <v>4.2526000000000002</v>
      </c>
      <c r="E263" s="61">
        <f>4.6138 * CHOOSE(CONTROL!$C$22, $C$13, 100%, $E$13)</f>
        <v>4.6138000000000003</v>
      </c>
      <c r="F263" s="61">
        <f>4.6138 * CHOOSE(CONTROL!$C$22, $C$13, 100%, $E$13)</f>
        <v>4.6138000000000003</v>
      </c>
      <c r="G263" s="61">
        <f>4.6161 * CHOOSE(CONTROL!$C$22, $C$13, 100%, $E$13)</f>
        <v>4.6161000000000003</v>
      </c>
      <c r="H263" s="61">
        <f>8.6098* CHOOSE(CONTROL!$C$22, $C$13, 100%, $E$13)</f>
        <v>8.6097999999999999</v>
      </c>
      <c r="I263" s="61">
        <f>8.6121 * CHOOSE(CONTROL!$C$22, $C$13, 100%, $E$13)</f>
        <v>8.6120999999999999</v>
      </c>
      <c r="J263" s="61">
        <f>4.6138 * CHOOSE(CONTROL!$C$22, $C$13, 100%, $E$13)</f>
        <v>4.6138000000000003</v>
      </c>
      <c r="K263" s="61">
        <f>4.6161 * CHOOSE(CONTROL!$C$22, $C$13, 100%, $E$13)</f>
        <v>4.6161000000000003</v>
      </c>
    </row>
    <row r="264" spans="1:11" ht="15">
      <c r="A264" s="13">
        <v>49888</v>
      </c>
      <c r="B264" s="60">
        <f>4.2216 * CHOOSE(CONTROL!$C$22, $C$13, 100%, $E$13)</f>
        <v>4.2215999999999996</v>
      </c>
      <c r="C264" s="60">
        <f>4.2216 * CHOOSE(CONTROL!$C$22, $C$13, 100%, $E$13)</f>
        <v>4.2215999999999996</v>
      </c>
      <c r="D264" s="60">
        <f>4.2593 * CHOOSE(CONTROL!$C$22, $C$13, 100%, $E$13)</f>
        <v>4.2592999999999996</v>
      </c>
      <c r="E264" s="61">
        <f>4.557 * CHOOSE(CONTROL!$C$22, $C$13, 100%, $E$13)</f>
        <v>4.5570000000000004</v>
      </c>
      <c r="F264" s="61">
        <f>4.557 * CHOOSE(CONTROL!$C$22, $C$13, 100%, $E$13)</f>
        <v>4.5570000000000004</v>
      </c>
      <c r="G264" s="61">
        <f>4.5593 * CHOOSE(CONTROL!$C$22, $C$13, 100%, $E$13)</f>
        <v>4.5593000000000004</v>
      </c>
      <c r="H264" s="61">
        <f>8.6278* CHOOSE(CONTROL!$C$22, $C$13, 100%, $E$13)</f>
        <v>8.6278000000000006</v>
      </c>
      <c r="I264" s="61">
        <f>8.6301 * CHOOSE(CONTROL!$C$22, $C$13, 100%, $E$13)</f>
        <v>8.6301000000000005</v>
      </c>
      <c r="J264" s="61">
        <f>4.557 * CHOOSE(CONTROL!$C$22, $C$13, 100%, $E$13)</f>
        <v>4.5570000000000004</v>
      </c>
      <c r="K264" s="61">
        <f>4.5593 * CHOOSE(CONTROL!$C$22, $C$13, 100%, $E$13)</f>
        <v>4.5593000000000004</v>
      </c>
    </row>
    <row r="265" spans="1:11" ht="15">
      <c r="A265" s="13">
        <v>49919</v>
      </c>
      <c r="B265" s="60">
        <f>4.2186 * CHOOSE(CONTROL!$C$22, $C$13, 100%, $E$13)</f>
        <v>4.2186000000000003</v>
      </c>
      <c r="C265" s="60">
        <f>4.2186 * CHOOSE(CONTROL!$C$22, $C$13, 100%, $E$13)</f>
        <v>4.2186000000000003</v>
      </c>
      <c r="D265" s="60">
        <f>4.2562 * CHOOSE(CONTROL!$C$22, $C$13, 100%, $E$13)</f>
        <v>4.2561999999999998</v>
      </c>
      <c r="E265" s="61">
        <f>4.548 * CHOOSE(CONTROL!$C$22, $C$13, 100%, $E$13)</f>
        <v>4.548</v>
      </c>
      <c r="F265" s="61">
        <f>4.548 * CHOOSE(CONTROL!$C$22, $C$13, 100%, $E$13)</f>
        <v>4.548</v>
      </c>
      <c r="G265" s="61">
        <f>4.5503 * CHOOSE(CONTROL!$C$22, $C$13, 100%, $E$13)</f>
        <v>4.5503</v>
      </c>
      <c r="H265" s="61">
        <f>8.6457* CHOOSE(CONTROL!$C$22, $C$13, 100%, $E$13)</f>
        <v>8.6456999999999997</v>
      </c>
      <c r="I265" s="61">
        <f>8.648 * CHOOSE(CONTROL!$C$22, $C$13, 100%, $E$13)</f>
        <v>8.6479999999999997</v>
      </c>
      <c r="J265" s="61">
        <f>4.548 * CHOOSE(CONTROL!$C$22, $C$13, 100%, $E$13)</f>
        <v>4.548</v>
      </c>
      <c r="K265" s="61">
        <f>4.5503 * CHOOSE(CONTROL!$C$22, $C$13, 100%, $E$13)</f>
        <v>4.5503</v>
      </c>
    </row>
    <row r="266" spans="1:11" ht="15">
      <c r="A266" s="13">
        <v>49949</v>
      </c>
      <c r="B266" s="60">
        <f>4.2146 * CHOOSE(CONTROL!$C$22, $C$13, 100%, $E$13)</f>
        <v>4.2145999999999999</v>
      </c>
      <c r="C266" s="60">
        <f>4.2146 * CHOOSE(CONTROL!$C$22, $C$13, 100%, $E$13)</f>
        <v>4.2145999999999999</v>
      </c>
      <c r="D266" s="60">
        <f>4.2335 * CHOOSE(CONTROL!$C$22, $C$13, 100%, $E$13)</f>
        <v>4.2335000000000003</v>
      </c>
      <c r="E266" s="61">
        <f>4.5619 * CHOOSE(CONTROL!$C$22, $C$13, 100%, $E$13)</f>
        <v>4.5618999999999996</v>
      </c>
      <c r="F266" s="61">
        <f>4.5619 * CHOOSE(CONTROL!$C$22, $C$13, 100%, $E$13)</f>
        <v>4.5618999999999996</v>
      </c>
      <c r="G266" s="61">
        <f>4.5621 * CHOOSE(CONTROL!$C$22, $C$13, 100%, $E$13)</f>
        <v>4.5621</v>
      </c>
      <c r="H266" s="61">
        <f>8.6637* CHOOSE(CONTROL!$C$22, $C$13, 100%, $E$13)</f>
        <v>8.6637000000000004</v>
      </c>
      <c r="I266" s="61">
        <f>8.6639 * CHOOSE(CONTROL!$C$22, $C$13, 100%, $E$13)</f>
        <v>8.6638999999999999</v>
      </c>
      <c r="J266" s="61">
        <f>4.5619 * CHOOSE(CONTROL!$C$22, $C$13, 100%, $E$13)</f>
        <v>4.5618999999999996</v>
      </c>
      <c r="K266" s="61">
        <f>4.5621 * CHOOSE(CONTROL!$C$22, $C$13, 100%, $E$13)</f>
        <v>4.5621</v>
      </c>
    </row>
    <row r="267" spans="1:11" ht="15">
      <c r="A267" s="13">
        <v>49980</v>
      </c>
      <c r="B267" s="60">
        <f>4.2177 * CHOOSE(CONTROL!$C$22, $C$13, 100%, $E$13)</f>
        <v>4.2176999999999998</v>
      </c>
      <c r="C267" s="60">
        <f>4.2177 * CHOOSE(CONTROL!$C$22, $C$13, 100%, $E$13)</f>
        <v>4.2176999999999998</v>
      </c>
      <c r="D267" s="60">
        <f>4.2365 * CHOOSE(CONTROL!$C$22, $C$13, 100%, $E$13)</f>
        <v>4.2365000000000004</v>
      </c>
      <c r="E267" s="61">
        <f>4.5777 * CHOOSE(CONTROL!$C$22, $C$13, 100%, $E$13)</f>
        <v>4.5777000000000001</v>
      </c>
      <c r="F267" s="61">
        <f>4.5777 * CHOOSE(CONTROL!$C$22, $C$13, 100%, $E$13)</f>
        <v>4.5777000000000001</v>
      </c>
      <c r="G267" s="61">
        <f>4.5779 * CHOOSE(CONTROL!$C$22, $C$13, 100%, $E$13)</f>
        <v>4.5778999999999996</v>
      </c>
      <c r="H267" s="61">
        <f>8.6818* CHOOSE(CONTROL!$C$22, $C$13, 100%, $E$13)</f>
        <v>8.6818000000000008</v>
      </c>
      <c r="I267" s="61">
        <f>8.682 * CHOOSE(CONTROL!$C$22, $C$13, 100%, $E$13)</f>
        <v>8.6820000000000004</v>
      </c>
      <c r="J267" s="61">
        <f>4.5777 * CHOOSE(CONTROL!$C$22, $C$13, 100%, $E$13)</f>
        <v>4.5777000000000001</v>
      </c>
      <c r="K267" s="61">
        <f>4.5779 * CHOOSE(CONTROL!$C$22, $C$13, 100%, $E$13)</f>
        <v>4.5778999999999996</v>
      </c>
    </row>
    <row r="268" spans="1:11" ht="15">
      <c r="A268" s="13">
        <v>50010</v>
      </c>
      <c r="B268" s="60">
        <f>4.2177 * CHOOSE(CONTROL!$C$22, $C$13, 100%, $E$13)</f>
        <v>4.2176999999999998</v>
      </c>
      <c r="C268" s="60">
        <f>4.2177 * CHOOSE(CONTROL!$C$22, $C$13, 100%, $E$13)</f>
        <v>4.2176999999999998</v>
      </c>
      <c r="D268" s="60">
        <f>4.2365 * CHOOSE(CONTROL!$C$22, $C$13, 100%, $E$13)</f>
        <v>4.2365000000000004</v>
      </c>
      <c r="E268" s="61">
        <f>4.5436 * CHOOSE(CONTROL!$C$22, $C$13, 100%, $E$13)</f>
        <v>4.5435999999999996</v>
      </c>
      <c r="F268" s="61">
        <f>4.5436 * CHOOSE(CONTROL!$C$22, $C$13, 100%, $E$13)</f>
        <v>4.5435999999999996</v>
      </c>
      <c r="G268" s="61">
        <f>4.5437 * CHOOSE(CONTROL!$C$22, $C$13, 100%, $E$13)</f>
        <v>4.5437000000000003</v>
      </c>
      <c r="H268" s="61">
        <f>8.6999* CHOOSE(CONTROL!$C$22, $C$13, 100%, $E$13)</f>
        <v>8.6998999999999995</v>
      </c>
      <c r="I268" s="61">
        <f>8.7001 * CHOOSE(CONTROL!$C$22, $C$13, 100%, $E$13)</f>
        <v>8.7001000000000008</v>
      </c>
      <c r="J268" s="61">
        <f>4.5436 * CHOOSE(CONTROL!$C$22, $C$13, 100%, $E$13)</f>
        <v>4.5435999999999996</v>
      </c>
      <c r="K268" s="61">
        <f>4.5437 * CHOOSE(CONTROL!$C$22, $C$13, 100%, $E$13)</f>
        <v>4.5437000000000003</v>
      </c>
    </row>
    <row r="269" spans="1:11" ht="15">
      <c r="A269" s="13">
        <v>50041</v>
      </c>
      <c r="B269" s="60">
        <f>4.2529 * CHOOSE(CONTROL!$C$22, $C$13, 100%, $E$13)</f>
        <v>4.2529000000000003</v>
      </c>
      <c r="C269" s="60">
        <f>4.2529 * CHOOSE(CONTROL!$C$22, $C$13, 100%, $E$13)</f>
        <v>4.2529000000000003</v>
      </c>
      <c r="D269" s="60">
        <f>4.2717 * CHOOSE(CONTROL!$C$22, $C$13, 100%, $E$13)</f>
        <v>4.2717000000000001</v>
      </c>
      <c r="E269" s="61">
        <f>4.6099 * CHOOSE(CONTROL!$C$22, $C$13, 100%, $E$13)</f>
        <v>4.6098999999999997</v>
      </c>
      <c r="F269" s="61">
        <f>4.6099 * CHOOSE(CONTROL!$C$22, $C$13, 100%, $E$13)</f>
        <v>4.6098999999999997</v>
      </c>
      <c r="G269" s="61">
        <f>4.6101 * CHOOSE(CONTROL!$C$22, $C$13, 100%, $E$13)</f>
        <v>4.6101000000000001</v>
      </c>
      <c r="H269" s="61">
        <f>8.718* CHOOSE(CONTROL!$C$22, $C$13, 100%, $E$13)</f>
        <v>8.718</v>
      </c>
      <c r="I269" s="61">
        <f>8.7182 * CHOOSE(CONTROL!$C$22, $C$13, 100%, $E$13)</f>
        <v>8.7181999999999995</v>
      </c>
      <c r="J269" s="61">
        <f>4.6099 * CHOOSE(CONTROL!$C$22, $C$13, 100%, $E$13)</f>
        <v>4.6098999999999997</v>
      </c>
      <c r="K269" s="61">
        <f>4.6101 * CHOOSE(CONTROL!$C$22, $C$13, 100%, $E$13)</f>
        <v>4.6101000000000001</v>
      </c>
    </row>
    <row r="270" spans="1:11" ht="15">
      <c r="A270" s="13">
        <v>50072</v>
      </c>
      <c r="B270" s="60">
        <f>4.2499 * CHOOSE(CONTROL!$C$22, $C$13, 100%, $E$13)</f>
        <v>4.2499000000000002</v>
      </c>
      <c r="C270" s="60">
        <f>4.2499 * CHOOSE(CONTROL!$C$22, $C$13, 100%, $E$13)</f>
        <v>4.2499000000000002</v>
      </c>
      <c r="D270" s="60">
        <f>4.2687 * CHOOSE(CONTROL!$C$22, $C$13, 100%, $E$13)</f>
        <v>4.2686999999999999</v>
      </c>
      <c r="E270" s="61">
        <f>4.5415 * CHOOSE(CONTROL!$C$22, $C$13, 100%, $E$13)</f>
        <v>4.5415000000000001</v>
      </c>
      <c r="F270" s="61">
        <f>4.5415 * CHOOSE(CONTROL!$C$22, $C$13, 100%, $E$13)</f>
        <v>4.5415000000000001</v>
      </c>
      <c r="G270" s="61">
        <f>4.5416 * CHOOSE(CONTROL!$C$22, $C$13, 100%, $E$13)</f>
        <v>4.5415999999999999</v>
      </c>
      <c r="H270" s="61">
        <f>8.7362* CHOOSE(CONTROL!$C$22, $C$13, 100%, $E$13)</f>
        <v>8.7362000000000002</v>
      </c>
      <c r="I270" s="61">
        <f>8.7363 * CHOOSE(CONTROL!$C$22, $C$13, 100%, $E$13)</f>
        <v>8.7363</v>
      </c>
      <c r="J270" s="61">
        <f>4.5415 * CHOOSE(CONTROL!$C$22, $C$13, 100%, $E$13)</f>
        <v>4.5415000000000001</v>
      </c>
      <c r="K270" s="61">
        <f>4.5416 * CHOOSE(CONTROL!$C$22, $C$13, 100%, $E$13)</f>
        <v>4.5415999999999999</v>
      </c>
    </row>
    <row r="271" spans="1:11" ht="15">
      <c r="A271" s="13">
        <v>50100</v>
      </c>
      <c r="B271" s="60">
        <f>4.2468 * CHOOSE(CONTROL!$C$22, $C$13, 100%, $E$13)</f>
        <v>4.2468000000000004</v>
      </c>
      <c r="C271" s="60">
        <f>4.2468 * CHOOSE(CONTROL!$C$22, $C$13, 100%, $E$13)</f>
        <v>4.2468000000000004</v>
      </c>
      <c r="D271" s="60">
        <f>4.2657 * CHOOSE(CONTROL!$C$22, $C$13, 100%, $E$13)</f>
        <v>4.2656999999999998</v>
      </c>
      <c r="E271" s="61">
        <f>4.5916 * CHOOSE(CONTROL!$C$22, $C$13, 100%, $E$13)</f>
        <v>4.5915999999999997</v>
      </c>
      <c r="F271" s="61">
        <f>4.5916 * CHOOSE(CONTROL!$C$22, $C$13, 100%, $E$13)</f>
        <v>4.5915999999999997</v>
      </c>
      <c r="G271" s="61">
        <f>4.5918 * CHOOSE(CONTROL!$C$22, $C$13, 100%, $E$13)</f>
        <v>4.5918000000000001</v>
      </c>
      <c r="H271" s="61">
        <f>8.7544* CHOOSE(CONTROL!$C$22, $C$13, 100%, $E$13)</f>
        <v>8.7544000000000004</v>
      </c>
      <c r="I271" s="61">
        <f>8.7545 * CHOOSE(CONTROL!$C$22, $C$13, 100%, $E$13)</f>
        <v>8.7545000000000002</v>
      </c>
      <c r="J271" s="61">
        <f>4.5916 * CHOOSE(CONTROL!$C$22, $C$13, 100%, $E$13)</f>
        <v>4.5915999999999997</v>
      </c>
      <c r="K271" s="61">
        <f>4.5918 * CHOOSE(CONTROL!$C$22, $C$13, 100%, $E$13)</f>
        <v>4.5918000000000001</v>
      </c>
    </row>
    <row r="272" spans="1:11" ht="15">
      <c r="A272" s="13">
        <v>50131</v>
      </c>
      <c r="B272" s="60">
        <f>4.2448 * CHOOSE(CONTROL!$C$22, $C$13, 100%, $E$13)</f>
        <v>4.2447999999999997</v>
      </c>
      <c r="C272" s="60">
        <f>4.2448 * CHOOSE(CONTROL!$C$22, $C$13, 100%, $E$13)</f>
        <v>4.2447999999999997</v>
      </c>
      <c r="D272" s="60">
        <f>4.2636 * CHOOSE(CONTROL!$C$22, $C$13, 100%, $E$13)</f>
        <v>4.2636000000000003</v>
      </c>
      <c r="E272" s="61">
        <f>4.6435 * CHOOSE(CONTROL!$C$22, $C$13, 100%, $E$13)</f>
        <v>4.6435000000000004</v>
      </c>
      <c r="F272" s="61">
        <f>4.6435 * CHOOSE(CONTROL!$C$22, $C$13, 100%, $E$13)</f>
        <v>4.6435000000000004</v>
      </c>
      <c r="G272" s="61">
        <f>4.6437 * CHOOSE(CONTROL!$C$22, $C$13, 100%, $E$13)</f>
        <v>4.6436999999999999</v>
      </c>
      <c r="H272" s="61">
        <f>8.7726* CHOOSE(CONTROL!$C$22, $C$13, 100%, $E$13)</f>
        <v>8.7726000000000006</v>
      </c>
      <c r="I272" s="61">
        <f>8.7728 * CHOOSE(CONTROL!$C$22, $C$13, 100%, $E$13)</f>
        <v>8.7728000000000002</v>
      </c>
      <c r="J272" s="61">
        <f>4.6435 * CHOOSE(CONTROL!$C$22, $C$13, 100%, $E$13)</f>
        <v>4.6435000000000004</v>
      </c>
      <c r="K272" s="61">
        <f>4.6437 * CHOOSE(CONTROL!$C$22, $C$13, 100%, $E$13)</f>
        <v>4.6436999999999999</v>
      </c>
    </row>
    <row r="273" spans="1:11" ht="15">
      <c r="A273" s="13">
        <v>50161</v>
      </c>
      <c r="B273" s="60">
        <f>4.2448 * CHOOSE(CONTROL!$C$22, $C$13, 100%, $E$13)</f>
        <v>4.2447999999999997</v>
      </c>
      <c r="C273" s="60">
        <f>4.2448 * CHOOSE(CONTROL!$C$22, $C$13, 100%, $E$13)</f>
        <v>4.2447999999999997</v>
      </c>
      <c r="D273" s="60">
        <f>4.2824 * CHOOSE(CONTROL!$C$22, $C$13, 100%, $E$13)</f>
        <v>4.2824</v>
      </c>
      <c r="E273" s="61">
        <f>4.6646 * CHOOSE(CONTROL!$C$22, $C$13, 100%, $E$13)</f>
        <v>4.6646000000000001</v>
      </c>
      <c r="F273" s="61">
        <f>4.6646 * CHOOSE(CONTROL!$C$22, $C$13, 100%, $E$13)</f>
        <v>4.6646000000000001</v>
      </c>
      <c r="G273" s="61">
        <f>4.6669 * CHOOSE(CONTROL!$C$22, $C$13, 100%, $E$13)</f>
        <v>4.6669</v>
      </c>
      <c r="H273" s="61">
        <f>8.7909* CHOOSE(CONTROL!$C$22, $C$13, 100%, $E$13)</f>
        <v>8.7909000000000006</v>
      </c>
      <c r="I273" s="61">
        <f>8.7932 * CHOOSE(CONTROL!$C$22, $C$13, 100%, $E$13)</f>
        <v>8.7932000000000006</v>
      </c>
      <c r="J273" s="61">
        <f>4.6646 * CHOOSE(CONTROL!$C$22, $C$13, 100%, $E$13)</f>
        <v>4.6646000000000001</v>
      </c>
      <c r="K273" s="61">
        <f>4.6669 * CHOOSE(CONTROL!$C$22, $C$13, 100%, $E$13)</f>
        <v>4.6669</v>
      </c>
    </row>
    <row r="274" spans="1:11" ht="15">
      <c r="A274" s="13">
        <v>50192</v>
      </c>
      <c r="B274" s="60">
        <f>4.2509 * CHOOSE(CONTROL!$C$22, $C$13, 100%, $E$13)</f>
        <v>4.2508999999999997</v>
      </c>
      <c r="C274" s="60">
        <f>4.2509 * CHOOSE(CONTROL!$C$22, $C$13, 100%, $E$13)</f>
        <v>4.2508999999999997</v>
      </c>
      <c r="D274" s="60">
        <f>4.2885 * CHOOSE(CONTROL!$C$22, $C$13, 100%, $E$13)</f>
        <v>4.2885</v>
      </c>
      <c r="E274" s="61">
        <f>4.6477 * CHOOSE(CONTROL!$C$22, $C$13, 100%, $E$13)</f>
        <v>4.6477000000000004</v>
      </c>
      <c r="F274" s="61">
        <f>4.6477 * CHOOSE(CONTROL!$C$22, $C$13, 100%, $E$13)</f>
        <v>4.6477000000000004</v>
      </c>
      <c r="G274" s="61">
        <f>4.6501 * CHOOSE(CONTROL!$C$22, $C$13, 100%, $E$13)</f>
        <v>4.6501000000000001</v>
      </c>
      <c r="H274" s="61">
        <f>8.8092* CHOOSE(CONTROL!$C$22, $C$13, 100%, $E$13)</f>
        <v>8.8092000000000006</v>
      </c>
      <c r="I274" s="61">
        <f>8.8115 * CHOOSE(CONTROL!$C$22, $C$13, 100%, $E$13)</f>
        <v>8.8115000000000006</v>
      </c>
      <c r="J274" s="61">
        <f>4.6477 * CHOOSE(CONTROL!$C$22, $C$13, 100%, $E$13)</f>
        <v>4.6477000000000004</v>
      </c>
      <c r="K274" s="61">
        <f>4.6501 * CHOOSE(CONTROL!$C$22, $C$13, 100%, $E$13)</f>
        <v>4.6501000000000001</v>
      </c>
    </row>
    <row r="275" spans="1:11" ht="15">
      <c r="A275" s="13">
        <v>50222</v>
      </c>
      <c r="B275" s="60">
        <f>4.315 * CHOOSE(CONTROL!$C$22, $C$13, 100%, $E$13)</f>
        <v>4.3150000000000004</v>
      </c>
      <c r="C275" s="60">
        <f>4.315 * CHOOSE(CONTROL!$C$22, $C$13, 100%, $E$13)</f>
        <v>4.3150000000000004</v>
      </c>
      <c r="D275" s="60">
        <f>4.3527 * CHOOSE(CONTROL!$C$22, $C$13, 100%, $E$13)</f>
        <v>4.3526999999999996</v>
      </c>
      <c r="E275" s="61">
        <f>4.7404 * CHOOSE(CONTROL!$C$22, $C$13, 100%, $E$13)</f>
        <v>4.7404000000000002</v>
      </c>
      <c r="F275" s="61">
        <f>4.7404 * CHOOSE(CONTROL!$C$22, $C$13, 100%, $E$13)</f>
        <v>4.7404000000000002</v>
      </c>
      <c r="G275" s="61">
        <f>4.7427 * CHOOSE(CONTROL!$C$22, $C$13, 100%, $E$13)</f>
        <v>4.7427000000000001</v>
      </c>
      <c r="H275" s="61">
        <f>8.8275* CHOOSE(CONTROL!$C$22, $C$13, 100%, $E$13)</f>
        <v>8.8275000000000006</v>
      </c>
      <c r="I275" s="61">
        <f>8.8299 * CHOOSE(CONTROL!$C$22, $C$13, 100%, $E$13)</f>
        <v>8.8299000000000003</v>
      </c>
      <c r="J275" s="61">
        <f>4.7404 * CHOOSE(CONTROL!$C$22, $C$13, 100%, $E$13)</f>
        <v>4.7404000000000002</v>
      </c>
      <c r="K275" s="61">
        <f>4.7427 * CHOOSE(CONTROL!$C$22, $C$13, 100%, $E$13)</f>
        <v>4.7427000000000001</v>
      </c>
    </row>
    <row r="276" spans="1:11" ht="15">
      <c r="A276" s="13">
        <v>50253</v>
      </c>
      <c r="B276" s="60">
        <f>4.3217 * CHOOSE(CONTROL!$C$22, $C$13, 100%, $E$13)</f>
        <v>4.3216999999999999</v>
      </c>
      <c r="C276" s="60">
        <f>4.3217 * CHOOSE(CONTROL!$C$22, $C$13, 100%, $E$13)</f>
        <v>4.3216999999999999</v>
      </c>
      <c r="D276" s="60">
        <f>4.3593 * CHOOSE(CONTROL!$C$22, $C$13, 100%, $E$13)</f>
        <v>4.3593000000000002</v>
      </c>
      <c r="E276" s="61">
        <f>4.6819 * CHOOSE(CONTROL!$C$22, $C$13, 100%, $E$13)</f>
        <v>4.6818999999999997</v>
      </c>
      <c r="F276" s="61">
        <f>4.6819 * CHOOSE(CONTROL!$C$22, $C$13, 100%, $E$13)</f>
        <v>4.6818999999999997</v>
      </c>
      <c r="G276" s="61">
        <f>4.6843 * CHOOSE(CONTROL!$C$22, $C$13, 100%, $E$13)</f>
        <v>4.6843000000000004</v>
      </c>
      <c r="H276" s="61">
        <f>8.8459* CHOOSE(CONTROL!$C$22, $C$13, 100%, $E$13)</f>
        <v>8.8459000000000003</v>
      </c>
      <c r="I276" s="61">
        <f>8.8483 * CHOOSE(CONTROL!$C$22, $C$13, 100%, $E$13)</f>
        <v>8.8483000000000001</v>
      </c>
      <c r="J276" s="61">
        <f>4.6819 * CHOOSE(CONTROL!$C$22, $C$13, 100%, $E$13)</f>
        <v>4.6818999999999997</v>
      </c>
      <c r="K276" s="61">
        <f>4.6843 * CHOOSE(CONTROL!$C$22, $C$13, 100%, $E$13)</f>
        <v>4.6843000000000004</v>
      </c>
    </row>
    <row r="277" spans="1:11" ht="15">
      <c r="A277" s="13">
        <v>50284</v>
      </c>
      <c r="B277" s="60">
        <f>4.3187 * CHOOSE(CONTROL!$C$22, $C$13, 100%, $E$13)</f>
        <v>4.3186999999999998</v>
      </c>
      <c r="C277" s="60">
        <f>4.3187 * CHOOSE(CONTROL!$C$22, $C$13, 100%, $E$13)</f>
        <v>4.3186999999999998</v>
      </c>
      <c r="D277" s="60">
        <f>4.3563 * CHOOSE(CONTROL!$C$22, $C$13, 100%, $E$13)</f>
        <v>4.3563000000000001</v>
      </c>
      <c r="E277" s="61">
        <f>4.6728 * CHOOSE(CONTROL!$C$22, $C$13, 100%, $E$13)</f>
        <v>4.6727999999999996</v>
      </c>
      <c r="F277" s="61">
        <f>4.6728 * CHOOSE(CONTROL!$C$22, $C$13, 100%, $E$13)</f>
        <v>4.6727999999999996</v>
      </c>
      <c r="G277" s="61">
        <f>4.6751 * CHOOSE(CONTROL!$C$22, $C$13, 100%, $E$13)</f>
        <v>4.6750999999999996</v>
      </c>
      <c r="H277" s="61">
        <f>8.8644* CHOOSE(CONTROL!$C$22, $C$13, 100%, $E$13)</f>
        <v>8.8643999999999998</v>
      </c>
      <c r="I277" s="61">
        <f>8.8667 * CHOOSE(CONTROL!$C$22, $C$13, 100%, $E$13)</f>
        <v>8.8666999999999998</v>
      </c>
      <c r="J277" s="61">
        <f>4.6728 * CHOOSE(CONTROL!$C$22, $C$13, 100%, $E$13)</f>
        <v>4.6727999999999996</v>
      </c>
      <c r="K277" s="61">
        <f>4.6751 * CHOOSE(CONTROL!$C$22, $C$13, 100%, $E$13)</f>
        <v>4.6750999999999996</v>
      </c>
    </row>
    <row r="278" spans="1:11" ht="15">
      <c r="A278" s="13">
        <v>50314</v>
      </c>
      <c r="B278" s="60">
        <f>4.3151 * CHOOSE(CONTROL!$C$22, $C$13, 100%, $E$13)</f>
        <v>4.3151000000000002</v>
      </c>
      <c r="C278" s="60">
        <f>4.3151 * CHOOSE(CONTROL!$C$22, $C$13, 100%, $E$13)</f>
        <v>4.3151000000000002</v>
      </c>
      <c r="D278" s="60">
        <f>4.3339 * CHOOSE(CONTROL!$C$22, $C$13, 100%, $E$13)</f>
        <v>4.3338999999999999</v>
      </c>
      <c r="E278" s="61">
        <f>4.6875 * CHOOSE(CONTROL!$C$22, $C$13, 100%, $E$13)</f>
        <v>4.6875</v>
      </c>
      <c r="F278" s="61">
        <f>4.6875 * CHOOSE(CONTROL!$C$22, $C$13, 100%, $E$13)</f>
        <v>4.6875</v>
      </c>
      <c r="G278" s="61">
        <f>4.6876 * CHOOSE(CONTROL!$C$22, $C$13, 100%, $E$13)</f>
        <v>4.6875999999999998</v>
      </c>
      <c r="H278" s="61">
        <f>8.8828* CHOOSE(CONTROL!$C$22, $C$13, 100%, $E$13)</f>
        <v>8.8827999999999996</v>
      </c>
      <c r="I278" s="61">
        <f>8.883 * CHOOSE(CONTROL!$C$22, $C$13, 100%, $E$13)</f>
        <v>8.8829999999999991</v>
      </c>
      <c r="J278" s="61">
        <f>4.6875 * CHOOSE(CONTROL!$C$22, $C$13, 100%, $E$13)</f>
        <v>4.6875</v>
      </c>
      <c r="K278" s="61">
        <f>4.6876 * CHOOSE(CONTROL!$C$22, $C$13, 100%, $E$13)</f>
        <v>4.6875999999999998</v>
      </c>
    </row>
    <row r="279" spans="1:11" ht="15">
      <c r="A279" s="13">
        <v>50345</v>
      </c>
      <c r="B279" s="60">
        <f>4.3181 * CHOOSE(CONTROL!$C$22, $C$13, 100%, $E$13)</f>
        <v>4.3181000000000003</v>
      </c>
      <c r="C279" s="60">
        <f>4.3181 * CHOOSE(CONTROL!$C$22, $C$13, 100%, $E$13)</f>
        <v>4.3181000000000003</v>
      </c>
      <c r="D279" s="60">
        <f>4.337 * CHOOSE(CONTROL!$C$22, $C$13, 100%, $E$13)</f>
        <v>4.3369999999999997</v>
      </c>
      <c r="E279" s="61">
        <f>4.7036 * CHOOSE(CONTROL!$C$22, $C$13, 100%, $E$13)</f>
        <v>4.7035999999999998</v>
      </c>
      <c r="F279" s="61">
        <f>4.7036 * CHOOSE(CONTROL!$C$22, $C$13, 100%, $E$13)</f>
        <v>4.7035999999999998</v>
      </c>
      <c r="G279" s="61">
        <f>4.7038 * CHOOSE(CONTROL!$C$22, $C$13, 100%, $E$13)</f>
        <v>4.7038000000000002</v>
      </c>
      <c r="H279" s="61">
        <f>8.9013* CHOOSE(CONTROL!$C$22, $C$13, 100%, $E$13)</f>
        <v>8.9013000000000009</v>
      </c>
      <c r="I279" s="61">
        <f>8.9015 * CHOOSE(CONTROL!$C$22, $C$13, 100%, $E$13)</f>
        <v>8.9015000000000004</v>
      </c>
      <c r="J279" s="61">
        <f>4.7036 * CHOOSE(CONTROL!$C$22, $C$13, 100%, $E$13)</f>
        <v>4.7035999999999998</v>
      </c>
      <c r="K279" s="61">
        <f>4.7038 * CHOOSE(CONTROL!$C$22, $C$13, 100%, $E$13)</f>
        <v>4.7038000000000002</v>
      </c>
    </row>
    <row r="280" spans="1:11" ht="15">
      <c r="A280" s="13">
        <v>50375</v>
      </c>
      <c r="B280" s="60">
        <f>4.3181 * CHOOSE(CONTROL!$C$22, $C$13, 100%, $E$13)</f>
        <v>4.3181000000000003</v>
      </c>
      <c r="C280" s="60">
        <f>4.3181 * CHOOSE(CONTROL!$C$22, $C$13, 100%, $E$13)</f>
        <v>4.3181000000000003</v>
      </c>
      <c r="D280" s="60">
        <f>4.337 * CHOOSE(CONTROL!$C$22, $C$13, 100%, $E$13)</f>
        <v>4.3369999999999997</v>
      </c>
      <c r="E280" s="61">
        <f>4.6685 * CHOOSE(CONTROL!$C$22, $C$13, 100%, $E$13)</f>
        <v>4.6684999999999999</v>
      </c>
      <c r="F280" s="61">
        <f>4.6685 * CHOOSE(CONTROL!$C$22, $C$13, 100%, $E$13)</f>
        <v>4.6684999999999999</v>
      </c>
      <c r="G280" s="61">
        <f>4.6687 * CHOOSE(CONTROL!$C$22, $C$13, 100%, $E$13)</f>
        <v>4.6687000000000003</v>
      </c>
      <c r="H280" s="61">
        <f>8.9199* CHOOSE(CONTROL!$C$22, $C$13, 100%, $E$13)</f>
        <v>8.9199000000000002</v>
      </c>
      <c r="I280" s="61">
        <f>8.9201 * CHOOSE(CONTROL!$C$22, $C$13, 100%, $E$13)</f>
        <v>8.9200999999999997</v>
      </c>
      <c r="J280" s="61">
        <f>4.6685 * CHOOSE(CONTROL!$C$22, $C$13, 100%, $E$13)</f>
        <v>4.6684999999999999</v>
      </c>
      <c r="K280" s="61">
        <f>4.6687 * CHOOSE(CONTROL!$C$22, $C$13, 100%, $E$13)</f>
        <v>4.6687000000000003</v>
      </c>
    </row>
    <row r="281" spans="1:11" ht="15">
      <c r="A281" s="13">
        <v>50406</v>
      </c>
      <c r="B281" s="60">
        <f>4.3559 * CHOOSE(CONTROL!$C$22, $C$13, 100%, $E$13)</f>
        <v>4.3559000000000001</v>
      </c>
      <c r="C281" s="60">
        <f>4.3559 * CHOOSE(CONTROL!$C$22, $C$13, 100%, $E$13)</f>
        <v>4.3559000000000001</v>
      </c>
      <c r="D281" s="60">
        <f>4.3747 * CHOOSE(CONTROL!$C$22, $C$13, 100%, $E$13)</f>
        <v>4.3746999999999998</v>
      </c>
      <c r="E281" s="61">
        <f>4.7413 * CHOOSE(CONTROL!$C$22, $C$13, 100%, $E$13)</f>
        <v>4.7412999999999998</v>
      </c>
      <c r="F281" s="61">
        <f>4.7413 * CHOOSE(CONTROL!$C$22, $C$13, 100%, $E$13)</f>
        <v>4.7412999999999998</v>
      </c>
      <c r="G281" s="61">
        <f>4.7415 * CHOOSE(CONTROL!$C$22, $C$13, 100%, $E$13)</f>
        <v>4.7415000000000003</v>
      </c>
      <c r="H281" s="61">
        <f>8.9385* CHOOSE(CONTROL!$C$22, $C$13, 100%, $E$13)</f>
        <v>8.9384999999999994</v>
      </c>
      <c r="I281" s="61">
        <f>8.9386 * CHOOSE(CONTROL!$C$22, $C$13, 100%, $E$13)</f>
        <v>8.9385999999999992</v>
      </c>
      <c r="J281" s="61">
        <f>4.7413 * CHOOSE(CONTROL!$C$22, $C$13, 100%, $E$13)</f>
        <v>4.7412999999999998</v>
      </c>
      <c r="K281" s="61">
        <f>4.7415 * CHOOSE(CONTROL!$C$22, $C$13, 100%, $E$13)</f>
        <v>4.7415000000000003</v>
      </c>
    </row>
    <row r="282" spans="1:11" ht="15">
      <c r="A282" s="13">
        <v>50437</v>
      </c>
      <c r="B282" s="60">
        <f>4.3528 * CHOOSE(CONTROL!$C$22, $C$13, 100%, $E$13)</f>
        <v>4.3528000000000002</v>
      </c>
      <c r="C282" s="60">
        <f>4.3528 * CHOOSE(CONTROL!$C$22, $C$13, 100%, $E$13)</f>
        <v>4.3528000000000002</v>
      </c>
      <c r="D282" s="60">
        <f>4.3716 * CHOOSE(CONTROL!$C$22, $C$13, 100%, $E$13)</f>
        <v>4.3715999999999999</v>
      </c>
      <c r="E282" s="61">
        <f>4.6706 * CHOOSE(CONTROL!$C$22, $C$13, 100%, $E$13)</f>
        <v>4.6706000000000003</v>
      </c>
      <c r="F282" s="61">
        <f>4.6706 * CHOOSE(CONTROL!$C$22, $C$13, 100%, $E$13)</f>
        <v>4.6706000000000003</v>
      </c>
      <c r="G282" s="61">
        <f>4.6708 * CHOOSE(CONTROL!$C$22, $C$13, 100%, $E$13)</f>
        <v>4.6707999999999998</v>
      </c>
      <c r="H282" s="61">
        <f>8.9571* CHOOSE(CONTROL!$C$22, $C$13, 100%, $E$13)</f>
        <v>8.9571000000000005</v>
      </c>
      <c r="I282" s="61">
        <f>8.9573 * CHOOSE(CONTROL!$C$22, $C$13, 100%, $E$13)</f>
        <v>8.9573</v>
      </c>
      <c r="J282" s="61">
        <f>4.6706 * CHOOSE(CONTROL!$C$22, $C$13, 100%, $E$13)</f>
        <v>4.6706000000000003</v>
      </c>
      <c r="K282" s="61">
        <f>4.6708 * CHOOSE(CONTROL!$C$22, $C$13, 100%, $E$13)</f>
        <v>4.6707999999999998</v>
      </c>
    </row>
    <row r="283" spans="1:11" ht="15">
      <c r="A283" s="13">
        <v>50465</v>
      </c>
      <c r="B283" s="60">
        <f>4.3498 * CHOOSE(CONTROL!$C$22, $C$13, 100%, $E$13)</f>
        <v>4.3498000000000001</v>
      </c>
      <c r="C283" s="60">
        <f>4.3498 * CHOOSE(CONTROL!$C$22, $C$13, 100%, $E$13)</f>
        <v>4.3498000000000001</v>
      </c>
      <c r="D283" s="60">
        <f>4.3686 * CHOOSE(CONTROL!$C$22, $C$13, 100%, $E$13)</f>
        <v>4.3685999999999998</v>
      </c>
      <c r="E283" s="61">
        <f>4.7225 * CHOOSE(CONTROL!$C$22, $C$13, 100%, $E$13)</f>
        <v>4.7225000000000001</v>
      </c>
      <c r="F283" s="61">
        <f>4.7225 * CHOOSE(CONTROL!$C$22, $C$13, 100%, $E$13)</f>
        <v>4.7225000000000001</v>
      </c>
      <c r="G283" s="61">
        <f>4.7227 * CHOOSE(CONTROL!$C$22, $C$13, 100%, $E$13)</f>
        <v>4.7226999999999997</v>
      </c>
      <c r="H283" s="61">
        <f>8.9758* CHOOSE(CONTROL!$C$22, $C$13, 100%, $E$13)</f>
        <v>8.9757999999999996</v>
      </c>
      <c r="I283" s="61">
        <f>8.9759 * CHOOSE(CONTROL!$C$22, $C$13, 100%, $E$13)</f>
        <v>8.9758999999999993</v>
      </c>
      <c r="J283" s="61">
        <f>4.7225 * CHOOSE(CONTROL!$C$22, $C$13, 100%, $E$13)</f>
        <v>4.7225000000000001</v>
      </c>
      <c r="K283" s="61">
        <f>4.7227 * CHOOSE(CONTROL!$C$22, $C$13, 100%, $E$13)</f>
        <v>4.7226999999999997</v>
      </c>
    </row>
    <row r="284" spans="1:11" ht="15">
      <c r="A284" s="13">
        <v>50496</v>
      </c>
      <c r="B284" s="60">
        <f>4.3478 * CHOOSE(CONTROL!$C$22, $C$13, 100%, $E$13)</f>
        <v>4.3478000000000003</v>
      </c>
      <c r="C284" s="60">
        <f>4.3478 * CHOOSE(CONTROL!$C$22, $C$13, 100%, $E$13)</f>
        <v>4.3478000000000003</v>
      </c>
      <c r="D284" s="60">
        <f>4.3666 * CHOOSE(CONTROL!$C$22, $C$13, 100%, $E$13)</f>
        <v>4.3666</v>
      </c>
      <c r="E284" s="61">
        <f>4.7763 * CHOOSE(CONTROL!$C$22, $C$13, 100%, $E$13)</f>
        <v>4.7763</v>
      </c>
      <c r="F284" s="61">
        <f>4.7763 * CHOOSE(CONTROL!$C$22, $C$13, 100%, $E$13)</f>
        <v>4.7763</v>
      </c>
      <c r="G284" s="61">
        <f>4.7765 * CHOOSE(CONTROL!$C$22, $C$13, 100%, $E$13)</f>
        <v>4.7765000000000004</v>
      </c>
      <c r="H284" s="61">
        <f>8.9945* CHOOSE(CONTROL!$C$22, $C$13, 100%, $E$13)</f>
        <v>8.9945000000000004</v>
      </c>
      <c r="I284" s="61">
        <f>8.9946 * CHOOSE(CONTROL!$C$22, $C$13, 100%, $E$13)</f>
        <v>8.9946000000000002</v>
      </c>
      <c r="J284" s="61">
        <f>4.7763 * CHOOSE(CONTROL!$C$22, $C$13, 100%, $E$13)</f>
        <v>4.7763</v>
      </c>
      <c r="K284" s="61">
        <f>4.7765 * CHOOSE(CONTROL!$C$22, $C$13, 100%, $E$13)</f>
        <v>4.7765000000000004</v>
      </c>
    </row>
    <row r="285" spans="1:11" ht="15">
      <c r="A285" s="13">
        <v>50526</v>
      </c>
      <c r="B285" s="60">
        <f>4.3478 * CHOOSE(CONTROL!$C$22, $C$13, 100%, $E$13)</f>
        <v>4.3478000000000003</v>
      </c>
      <c r="C285" s="60">
        <f>4.3478 * CHOOSE(CONTROL!$C$22, $C$13, 100%, $E$13)</f>
        <v>4.3478000000000003</v>
      </c>
      <c r="D285" s="60">
        <f>4.3855 * CHOOSE(CONTROL!$C$22, $C$13, 100%, $E$13)</f>
        <v>4.3855000000000004</v>
      </c>
      <c r="E285" s="61">
        <f>4.7981 * CHOOSE(CONTROL!$C$22, $C$13, 100%, $E$13)</f>
        <v>4.7980999999999998</v>
      </c>
      <c r="F285" s="61">
        <f>4.7981 * CHOOSE(CONTROL!$C$22, $C$13, 100%, $E$13)</f>
        <v>4.7980999999999998</v>
      </c>
      <c r="G285" s="61">
        <f>4.8004 * CHOOSE(CONTROL!$C$22, $C$13, 100%, $E$13)</f>
        <v>4.8003999999999998</v>
      </c>
      <c r="H285" s="61">
        <f>9.0132* CHOOSE(CONTROL!$C$22, $C$13, 100%, $E$13)</f>
        <v>9.0131999999999994</v>
      </c>
      <c r="I285" s="61">
        <f>9.0155 * CHOOSE(CONTROL!$C$22, $C$13, 100%, $E$13)</f>
        <v>9.0154999999999994</v>
      </c>
      <c r="J285" s="61">
        <f>4.7981 * CHOOSE(CONTROL!$C$22, $C$13, 100%, $E$13)</f>
        <v>4.7980999999999998</v>
      </c>
      <c r="K285" s="61">
        <f>4.8004 * CHOOSE(CONTROL!$C$22, $C$13, 100%, $E$13)</f>
        <v>4.8003999999999998</v>
      </c>
    </row>
    <row r="286" spans="1:11" ht="15">
      <c r="A286" s="13">
        <v>50557</v>
      </c>
      <c r="B286" s="60">
        <f>4.3539 * CHOOSE(CONTROL!$C$22, $C$13, 100%, $E$13)</f>
        <v>4.3539000000000003</v>
      </c>
      <c r="C286" s="60">
        <f>4.3539 * CHOOSE(CONTROL!$C$22, $C$13, 100%, $E$13)</f>
        <v>4.3539000000000003</v>
      </c>
      <c r="D286" s="60">
        <f>4.3915 * CHOOSE(CONTROL!$C$22, $C$13, 100%, $E$13)</f>
        <v>4.3914999999999997</v>
      </c>
      <c r="E286" s="61">
        <f>4.7806 * CHOOSE(CONTROL!$C$22, $C$13, 100%, $E$13)</f>
        <v>4.7805999999999997</v>
      </c>
      <c r="F286" s="61">
        <f>4.7806 * CHOOSE(CONTROL!$C$22, $C$13, 100%, $E$13)</f>
        <v>4.7805999999999997</v>
      </c>
      <c r="G286" s="61">
        <f>4.7829 * CHOOSE(CONTROL!$C$22, $C$13, 100%, $E$13)</f>
        <v>4.7828999999999997</v>
      </c>
      <c r="H286" s="61">
        <f>9.032* CHOOSE(CONTROL!$C$22, $C$13, 100%, $E$13)</f>
        <v>9.032</v>
      </c>
      <c r="I286" s="61">
        <f>9.0343 * CHOOSE(CONTROL!$C$22, $C$13, 100%, $E$13)</f>
        <v>9.0343</v>
      </c>
      <c r="J286" s="61">
        <f>4.7806 * CHOOSE(CONTROL!$C$22, $C$13, 100%, $E$13)</f>
        <v>4.7805999999999997</v>
      </c>
      <c r="K286" s="61">
        <f>4.7829 * CHOOSE(CONTROL!$C$22, $C$13, 100%, $E$13)</f>
        <v>4.7828999999999997</v>
      </c>
    </row>
    <row r="287" spans="1:11" ht="15">
      <c r="A287" s="13">
        <v>50587</v>
      </c>
      <c r="B287" s="60">
        <f>4.4232 * CHOOSE(CONTROL!$C$22, $C$13, 100%, $E$13)</f>
        <v>4.4231999999999996</v>
      </c>
      <c r="C287" s="60">
        <f>4.4232 * CHOOSE(CONTROL!$C$22, $C$13, 100%, $E$13)</f>
        <v>4.4231999999999996</v>
      </c>
      <c r="D287" s="60">
        <f>4.4608 * CHOOSE(CONTROL!$C$22, $C$13, 100%, $E$13)</f>
        <v>4.4607999999999999</v>
      </c>
      <c r="E287" s="61">
        <f>4.875 * CHOOSE(CONTROL!$C$22, $C$13, 100%, $E$13)</f>
        <v>4.875</v>
      </c>
      <c r="F287" s="61">
        <f>4.875 * CHOOSE(CONTROL!$C$22, $C$13, 100%, $E$13)</f>
        <v>4.875</v>
      </c>
      <c r="G287" s="61">
        <f>4.8773 * CHOOSE(CONTROL!$C$22, $C$13, 100%, $E$13)</f>
        <v>4.8773</v>
      </c>
      <c r="H287" s="61">
        <f>9.0508* CHOOSE(CONTROL!$C$22, $C$13, 100%, $E$13)</f>
        <v>9.0508000000000006</v>
      </c>
      <c r="I287" s="61">
        <f>9.0531 * CHOOSE(CONTROL!$C$22, $C$13, 100%, $E$13)</f>
        <v>9.0531000000000006</v>
      </c>
      <c r="J287" s="61">
        <f>4.875 * CHOOSE(CONTROL!$C$22, $C$13, 100%, $E$13)</f>
        <v>4.875</v>
      </c>
      <c r="K287" s="61">
        <f>4.8773 * CHOOSE(CONTROL!$C$22, $C$13, 100%, $E$13)</f>
        <v>4.8773</v>
      </c>
    </row>
    <row r="288" spans="1:11" ht="15">
      <c r="A288" s="13">
        <v>50618</v>
      </c>
      <c r="B288" s="60">
        <f>4.4299 * CHOOSE(CONTROL!$C$22, $C$13, 100%, $E$13)</f>
        <v>4.4298999999999999</v>
      </c>
      <c r="C288" s="60">
        <f>4.4299 * CHOOSE(CONTROL!$C$22, $C$13, 100%, $E$13)</f>
        <v>4.4298999999999999</v>
      </c>
      <c r="D288" s="60">
        <f>4.4675 * CHOOSE(CONTROL!$C$22, $C$13, 100%, $E$13)</f>
        <v>4.4675000000000002</v>
      </c>
      <c r="E288" s="61">
        <f>4.8143 * CHOOSE(CONTROL!$C$22, $C$13, 100%, $E$13)</f>
        <v>4.8143000000000002</v>
      </c>
      <c r="F288" s="61">
        <f>4.8143 * CHOOSE(CONTROL!$C$22, $C$13, 100%, $E$13)</f>
        <v>4.8143000000000002</v>
      </c>
      <c r="G288" s="61">
        <f>4.8167 * CHOOSE(CONTROL!$C$22, $C$13, 100%, $E$13)</f>
        <v>4.8167</v>
      </c>
      <c r="H288" s="61">
        <f>9.0696* CHOOSE(CONTROL!$C$22, $C$13, 100%, $E$13)</f>
        <v>9.0695999999999994</v>
      </c>
      <c r="I288" s="61">
        <f>9.072 * CHOOSE(CONTROL!$C$22, $C$13, 100%, $E$13)</f>
        <v>9.0719999999999992</v>
      </c>
      <c r="J288" s="61">
        <f>4.8143 * CHOOSE(CONTROL!$C$22, $C$13, 100%, $E$13)</f>
        <v>4.8143000000000002</v>
      </c>
      <c r="K288" s="61">
        <f>4.8167 * CHOOSE(CONTROL!$C$22, $C$13, 100%, $E$13)</f>
        <v>4.8167</v>
      </c>
    </row>
    <row r="289" spans="1:11" ht="15">
      <c r="A289" s="13">
        <v>50649</v>
      </c>
      <c r="B289" s="60">
        <f>4.4269 * CHOOSE(CONTROL!$C$22, $C$13, 100%, $E$13)</f>
        <v>4.4268999999999998</v>
      </c>
      <c r="C289" s="60">
        <f>4.4269 * CHOOSE(CONTROL!$C$22, $C$13, 100%, $E$13)</f>
        <v>4.4268999999999998</v>
      </c>
      <c r="D289" s="60">
        <f>4.4645 * CHOOSE(CONTROL!$C$22, $C$13, 100%, $E$13)</f>
        <v>4.4645000000000001</v>
      </c>
      <c r="E289" s="61">
        <f>4.805 * CHOOSE(CONTROL!$C$22, $C$13, 100%, $E$13)</f>
        <v>4.8049999999999997</v>
      </c>
      <c r="F289" s="61">
        <f>4.805 * CHOOSE(CONTROL!$C$22, $C$13, 100%, $E$13)</f>
        <v>4.8049999999999997</v>
      </c>
      <c r="G289" s="61">
        <f>4.8073 * CHOOSE(CONTROL!$C$22, $C$13, 100%, $E$13)</f>
        <v>4.8072999999999997</v>
      </c>
      <c r="H289" s="61">
        <f>9.0885* CHOOSE(CONTROL!$C$22, $C$13, 100%, $E$13)</f>
        <v>9.0884999999999998</v>
      </c>
      <c r="I289" s="61">
        <f>9.0908 * CHOOSE(CONTROL!$C$22, $C$13, 100%, $E$13)</f>
        <v>9.0907999999999998</v>
      </c>
      <c r="J289" s="61">
        <f>4.805 * CHOOSE(CONTROL!$C$22, $C$13, 100%, $E$13)</f>
        <v>4.8049999999999997</v>
      </c>
      <c r="K289" s="61">
        <f>4.8073 * CHOOSE(CONTROL!$C$22, $C$13, 100%, $E$13)</f>
        <v>4.8072999999999997</v>
      </c>
    </row>
    <row r="290" spans="1:11" ht="15">
      <c r="A290" s="13">
        <v>50679</v>
      </c>
      <c r="B290" s="60">
        <f>4.4237 * CHOOSE(CONTROL!$C$22, $C$13, 100%, $E$13)</f>
        <v>4.4237000000000002</v>
      </c>
      <c r="C290" s="60">
        <f>4.4237 * CHOOSE(CONTROL!$C$22, $C$13, 100%, $E$13)</f>
        <v>4.4237000000000002</v>
      </c>
      <c r="D290" s="60">
        <f>4.4425 * CHOOSE(CONTROL!$C$22, $C$13, 100%, $E$13)</f>
        <v>4.4424999999999999</v>
      </c>
      <c r="E290" s="61">
        <f>4.8206 * CHOOSE(CONTROL!$C$22, $C$13, 100%, $E$13)</f>
        <v>4.8205999999999998</v>
      </c>
      <c r="F290" s="61">
        <f>4.8206 * CHOOSE(CONTROL!$C$22, $C$13, 100%, $E$13)</f>
        <v>4.8205999999999998</v>
      </c>
      <c r="G290" s="61">
        <f>4.8207 * CHOOSE(CONTROL!$C$22, $C$13, 100%, $E$13)</f>
        <v>4.8207000000000004</v>
      </c>
      <c r="H290" s="61">
        <f>9.1075* CHOOSE(CONTROL!$C$22, $C$13, 100%, $E$13)</f>
        <v>9.1074999999999999</v>
      </c>
      <c r="I290" s="61">
        <f>9.1076 * CHOOSE(CONTROL!$C$22, $C$13, 100%, $E$13)</f>
        <v>9.1075999999999997</v>
      </c>
      <c r="J290" s="61">
        <f>4.8206 * CHOOSE(CONTROL!$C$22, $C$13, 100%, $E$13)</f>
        <v>4.8205999999999998</v>
      </c>
      <c r="K290" s="61">
        <f>4.8207 * CHOOSE(CONTROL!$C$22, $C$13, 100%, $E$13)</f>
        <v>4.8207000000000004</v>
      </c>
    </row>
    <row r="291" spans="1:11" ht="15">
      <c r="A291" s="13">
        <v>50710</v>
      </c>
      <c r="B291" s="60">
        <f>4.4267 * CHOOSE(CONTROL!$C$22, $C$13, 100%, $E$13)</f>
        <v>4.4267000000000003</v>
      </c>
      <c r="C291" s="60">
        <f>4.4267 * CHOOSE(CONTROL!$C$22, $C$13, 100%, $E$13)</f>
        <v>4.4267000000000003</v>
      </c>
      <c r="D291" s="60">
        <f>4.4455 * CHOOSE(CONTROL!$C$22, $C$13, 100%, $E$13)</f>
        <v>4.4455</v>
      </c>
      <c r="E291" s="61">
        <f>4.8372 * CHOOSE(CONTROL!$C$22, $C$13, 100%, $E$13)</f>
        <v>4.8372000000000002</v>
      </c>
      <c r="F291" s="61">
        <f>4.8372 * CHOOSE(CONTROL!$C$22, $C$13, 100%, $E$13)</f>
        <v>4.8372000000000002</v>
      </c>
      <c r="G291" s="61">
        <f>4.8374 * CHOOSE(CONTROL!$C$22, $C$13, 100%, $E$13)</f>
        <v>4.8373999999999997</v>
      </c>
      <c r="H291" s="61">
        <f>9.1264* CHOOSE(CONTROL!$C$22, $C$13, 100%, $E$13)</f>
        <v>9.1264000000000003</v>
      </c>
      <c r="I291" s="61">
        <f>9.1266 * CHOOSE(CONTROL!$C$22, $C$13, 100%, $E$13)</f>
        <v>9.1265999999999998</v>
      </c>
      <c r="J291" s="61">
        <f>4.8372 * CHOOSE(CONTROL!$C$22, $C$13, 100%, $E$13)</f>
        <v>4.8372000000000002</v>
      </c>
      <c r="K291" s="61">
        <f>4.8374 * CHOOSE(CONTROL!$C$22, $C$13, 100%, $E$13)</f>
        <v>4.8373999999999997</v>
      </c>
    </row>
    <row r="292" spans="1:11" ht="15">
      <c r="A292" s="13">
        <v>50740</v>
      </c>
      <c r="B292" s="60">
        <f>4.4267 * CHOOSE(CONTROL!$C$22, $C$13, 100%, $E$13)</f>
        <v>4.4267000000000003</v>
      </c>
      <c r="C292" s="60">
        <f>4.4267 * CHOOSE(CONTROL!$C$22, $C$13, 100%, $E$13)</f>
        <v>4.4267000000000003</v>
      </c>
      <c r="D292" s="60">
        <f>4.4455 * CHOOSE(CONTROL!$C$22, $C$13, 100%, $E$13)</f>
        <v>4.4455</v>
      </c>
      <c r="E292" s="61">
        <f>4.8206 * CHOOSE(CONTROL!$C$22, $C$13, 100%, $E$13)</f>
        <v>4.8205999999999998</v>
      </c>
      <c r="F292" s="61">
        <f>4.8206 * CHOOSE(CONTROL!$C$22, $C$13, 100%, $E$13)</f>
        <v>4.8205999999999998</v>
      </c>
      <c r="G292" s="61">
        <f>4.8208 * CHOOSE(CONTROL!$C$22, $C$13, 100%, $E$13)</f>
        <v>4.8208000000000002</v>
      </c>
      <c r="H292" s="61">
        <f>9.1455* CHOOSE(CONTROL!$C$22, $C$13, 100%, $E$13)</f>
        <v>9.1455000000000002</v>
      </c>
      <c r="I292" s="61">
        <f>9.1456 * CHOOSE(CONTROL!$C$22, $C$13, 100%, $E$13)</f>
        <v>9.1456</v>
      </c>
      <c r="J292" s="61">
        <f>4.8206 * CHOOSE(CONTROL!$C$22, $C$13, 100%, $E$13)</f>
        <v>4.8205999999999998</v>
      </c>
      <c r="K292" s="61">
        <f>4.8208 * CHOOSE(CONTROL!$C$22, $C$13, 100%, $E$13)</f>
        <v>4.8208000000000002</v>
      </c>
    </row>
    <row r="293" spans="1:11" ht="15">
      <c r="A293" s="13">
        <v>50771</v>
      </c>
      <c r="B293" s="60">
        <f>4.464 * CHOOSE(CONTROL!$C$22, $C$13, 100%, $E$13)</f>
        <v>4.4640000000000004</v>
      </c>
      <c r="C293" s="60">
        <f>4.464 * CHOOSE(CONTROL!$C$22, $C$13, 100%, $E$13)</f>
        <v>4.4640000000000004</v>
      </c>
      <c r="D293" s="60">
        <f>4.4829 * CHOOSE(CONTROL!$C$22, $C$13, 100%, $E$13)</f>
        <v>4.4828999999999999</v>
      </c>
      <c r="E293" s="61">
        <f>4.8715 * CHOOSE(CONTROL!$C$22, $C$13, 100%, $E$13)</f>
        <v>4.8715000000000002</v>
      </c>
      <c r="F293" s="61">
        <f>4.8715 * CHOOSE(CONTROL!$C$22, $C$13, 100%, $E$13)</f>
        <v>4.8715000000000002</v>
      </c>
      <c r="G293" s="61">
        <f>4.8717 * CHOOSE(CONTROL!$C$22, $C$13, 100%, $E$13)</f>
        <v>4.8716999999999997</v>
      </c>
      <c r="H293" s="61">
        <f>9.1645* CHOOSE(CONTROL!$C$22, $C$13, 100%, $E$13)</f>
        <v>9.1645000000000003</v>
      </c>
      <c r="I293" s="61">
        <f>9.1647 * CHOOSE(CONTROL!$C$22, $C$13, 100%, $E$13)</f>
        <v>9.1646999999999998</v>
      </c>
      <c r="J293" s="61">
        <f>4.8715 * CHOOSE(CONTROL!$C$22, $C$13, 100%, $E$13)</f>
        <v>4.8715000000000002</v>
      </c>
      <c r="K293" s="61">
        <f>4.8717 * CHOOSE(CONTROL!$C$22, $C$13, 100%, $E$13)</f>
        <v>4.8716999999999997</v>
      </c>
    </row>
    <row r="294" spans="1:11" ht="15">
      <c r="A294" s="13">
        <v>50802</v>
      </c>
      <c r="B294" s="60">
        <f>4.461 * CHOOSE(CONTROL!$C$22, $C$13, 100%, $E$13)</f>
        <v>4.4610000000000003</v>
      </c>
      <c r="C294" s="60">
        <f>4.461 * CHOOSE(CONTROL!$C$22, $C$13, 100%, $E$13)</f>
        <v>4.4610000000000003</v>
      </c>
      <c r="D294" s="60">
        <f>4.4798 * CHOOSE(CONTROL!$C$22, $C$13, 100%, $E$13)</f>
        <v>4.4798</v>
      </c>
      <c r="E294" s="61">
        <f>4.7989 * CHOOSE(CONTROL!$C$22, $C$13, 100%, $E$13)</f>
        <v>4.7988999999999997</v>
      </c>
      <c r="F294" s="61">
        <f>4.7989 * CHOOSE(CONTROL!$C$22, $C$13, 100%, $E$13)</f>
        <v>4.7988999999999997</v>
      </c>
      <c r="G294" s="61">
        <f>4.7991 * CHOOSE(CONTROL!$C$22, $C$13, 100%, $E$13)</f>
        <v>4.7991000000000001</v>
      </c>
      <c r="H294" s="61">
        <f>9.1836* CHOOSE(CONTROL!$C$22, $C$13, 100%, $E$13)</f>
        <v>9.1836000000000002</v>
      </c>
      <c r="I294" s="61">
        <f>9.1838 * CHOOSE(CONTROL!$C$22, $C$13, 100%, $E$13)</f>
        <v>9.1837999999999997</v>
      </c>
      <c r="J294" s="61">
        <f>4.7989 * CHOOSE(CONTROL!$C$22, $C$13, 100%, $E$13)</f>
        <v>4.7988999999999997</v>
      </c>
      <c r="K294" s="61">
        <f>4.7991 * CHOOSE(CONTROL!$C$22, $C$13, 100%, $E$13)</f>
        <v>4.7991000000000001</v>
      </c>
    </row>
    <row r="295" spans="1:11" ht="15">
      <c r="A295" s="13">
        <v>50830</v>
      </c>
      <c r="B295" s="60">
        <f>4.458 * CHOOSE(CONTROL!$C$22, $C$13, 100%, $E$13)</f>
        <v>4.4580000000000002</v>
      </c>
      <c r="C295" s="60">
        <f>4.458 * CHOOSE(CONTROL!$C$22, $C$13, 100%, $E$13)</f>
        <v>4.4580000000000002</v>
      </c>
      <c r="D295" s="60">
        <f>4.4768 * CHOOSE(CONTROL!$C$22, $C$13, 100%, $E$13)</f>
        <v>4.4767999999999999</v>
      </c>
      <c r="E295" s="61">
        <f>4.8524 * CHOOSE(CONTROL!$C$22, $C$13, 100%, $E$13)</f>
        <v>4.8524000000000003</v>
      </c>
      <c r="F295" s="61">
        <f>4.8524 * CHOOSE(CONTROL!$C$22, $C$13, 100%, $E$13)</f>
        <v>4.8524000000000003</v>
      </c>
      <c r="G295" s="61">
        <f>4.8525 * CHOOSE(CONTROL!$C$22, $C$13, 100%, $E$13)</f>
        <v>4.8525</v>
      </c>
      <c r="H295" s="61">
        <f>9.2027* CHOOSE(CONTROL!$C$22, $C$13, 100%, $E$13)</f>
        <v>9.2027000000000001</v>
      </c>
      <c r="I295" s="61">
        <f>9.2029 * CHOOSE(CONTROL!$C$22, $C$13, 100%, $E$13)</f>
        <v>9.2028999999999996</v>
      </c>
      <c r="J295" s="61">
        <f>4.8524 * CHOOSE(CONTROL!$C$22, $C$13, 100%, $E$13)</f>
        <v>4.8524000000000003</v>
      </c>
      <c r="K295" s="61">
        <f>4.8525 * CHOOSE(CONTROL!$C$22, $C$13, 100%, $E$13)</f>
        <v>4.8525</v>
      </c>
    </row>
    <row r="296" spans="1:11" ht="15">
      <c r="A296" s="13">
        <v>50861</v>
      </c>
      <c r="B296" s="60">
        <f>4.4561 * CHOOSE(CONTROL!$C$22, $C$13, 100%, $E$13)</f>
        <v>4.4561000000000002</v>
      </c>
      <c r="C296" s="60">
        <f>4.4561 * CHOOSE(CONTROL!$C$22, $C$13, 100%, $E$13)</f>
        <v>4.4561000000000002</v>
      </c>
      <c r="D296" s="60">
        <f>4.4749 * CHOOSE(CONTROL!$C$22, $C$13, 100%, $E$13)</f>
        <v>4.4748999999999999</v>
      </c>
      <c r="E296" s="61">
        <f>4.9078 * CHOOSE(CONTROL!$C$22, $C$13, 100%, $E$13)</f>
        <v>4.9077999999999999</v>
      </c>
      <c r="F296" s="61">
        <f>4.9078 * CHOOSE(CONTROL!$C$22, $C$13, 100%, $E$13)</f>
        <v>4.9077999999999999</v>
      </c>
      <c r="G296" s="61">
        <f>4.908 * CHOOSE(CONTROL!$C$22, $C$13, 100%, $E$13)</f>
        <v>4.9080000000000004</v>
      </c>
      <c r="H296" s="61">
        <f>9.2219* CHOOSE(CONTROL!$C$22, $C$13, 100%, $E$13)</f>
        <v>9.2218999999999998</v>
      </c>
      <c r="I296" s="61">
        <f>9.2221 * CHOOSE(CONTROL!$C$22, $C$13, 100%, $E$13)</f>
        <v>9.2220999999999993</v>
      </c>
      <c r="J296" s="61">
        <f>4.9078 * CHOOSE(CONTROL!$C$22, $C$13, 100%, $E$13)</f>
        <v>4.9077999999999999</v>
      </c>
      <c r="K296" s="61">
        <f>4.908 * CHOOSE(CONTROL!$C$22, $C$13, 100%, $E$13)</f>
        <v>4.9080000000000004</v>
      </c>
    </row>
    <row r="297" spans="1:11" ht="15">
      <c r="A297" s="13">
        <v>50891</v>
      </c>
      <c r="B297" s="60">
        <f>4.4561 * CHOOSE(CONTROL!$C$22, $C$13, 100%, $E$13)</f>
        <v>4.4561000000000002</v>
      </c>
      <c r="C297" s="60">
        <f>4.4561 * CHOOSE(CONTROL!$C$22, $C$13, 100%, $E$13)</f>
        <v>4.4561000000000002</v>
      </c>
      <c r="D297" s="60">
        <f>4.4937 * CHOOSE(CONTROL!$C$22, $C$13, 100%, $E$13)</f>
        <v>4.4936999999999996</v>
      </c>
      <c r="E297" s="61">
        <f>4.9302 * CHOOSE(CONTROL!$C$22, $C$13, 100%, $E$13)</f>
        <v>4.9302000000000001</v>
      </c>
      <c r="F297" s="61">
        <f>4.9302 * CHOOSE(CONTROL!$C$22, $C$13, 100%, $E$13)</f>
        <v>4.9302000000000001</v>
      </c>
      <c r="G297" s="61">
        <f>4.9325 * CHOOSE(CONTROL!$C$22, $C$13, 100%, $E$13)</f>
        <v>4.9325000000000001</v>
      </c>
      <c r="H297" s="61">
        <f>9.2411* CHOOSE(CONTROL!$C$22, $C$13, 100%, $E$13)</f>
        <v>9.2410999999999994</v>
      </c>
      <c r="I297" s="61">
        <f>9.2434 * CHOOSE(CONTROL!$C$22, $C$13, 100%, $E$13)</f>
        <v>9.2433999999999994</v>
      </c>
      <c r="J297" s="61">
        <f>4.9302 * CHOOSE(CONTROL!$C$22, $C$13, 100%, $E$13)</f>
        <v>4.9302000000000001</v>
      </c>
      <c r="K297" s="61">
        <f>4.9325 * CHOOSE(CONTROL!$C$22, $C$13, 100%, $E$13)</f>
        <v>4.9325000000000001</v>
      </c>
    </row>
    <row r="298" spans="1:11" ht="15">
      <c r="A298" s="13">
        <v>50922</v>
      </c>
      <c r="B298" s="60">
        <f>4.4622 * CHOOSE(CONTROL!$C$22, $C$13, 100%, $E$13)</f>
        <v>4.4622000000000002</v>
      </c>
      <c r="C298" s="60">
        <f>4.4622 * CHOOSE(CONTROL!$C$22, $C$13, 100%, $E$13)</f>
        <v>4.4622000000000002</v>
      </c>
      <c r="D298" s="60">
        <f>4.4998 * CHOOSE(CONTROL!$C$22, $C$13, 100%, $E$13)</f>
        <v>4.4997999999999996</v>
      </c>
      <c r="E298" s="61">
        <f>4.912 * CHOOSE(CONTROL!$C$22, $C$13, 100%, $E$13)</f>
        <v>4.9119999999999999</v>
      </c>
      <c r="F298" s="61">
        <f>4.912 * CHOOSE(CONTROL!$C$22, $C$13, 100%, $E$13)</f>
        <v>4.9119999999999999</v>
      </c>
      <c r="G298" s="61">
        <f>4.9143 * CHOOSE(CONTROL!$C$22, $C$13, 100%, $E$13)</f>
        <v>4.9142999999999999</v>
      </c>
      <c r="H298" s="61">
        <f>9.2604* CHOOSE(CONTROL!$C$22, $C$13, 100%, $E$13)</f>
        <v>9.2604000000000006</v>
      </c>
      <c r="I298" s="61">
        <f>9.2627 * CHOOSE(CONTROL!$C$22, $C$13, 100%, $E$13)</f>
        <v>9.2627000000000006</v>
      </c>
      <c r="J298" s="61">
        <f>4.912 * CHOOSE(CONTROL!$C$22, $C$13, 100%, $E$13)</f>
        <v>4.9119999999999999</v>
      </c>
      <c r="K298" s="61">
        <f>4.9143 * CHOOSE(CONTROL!$C$22, $C$13, 100%, $E$13)</f>
        <v>4.9142999999999999</v>
      </c>
    </row>
    <row r="299" spans="1:11" ht="15">
      <c r="A299" s="13">
        <v>50952</v>
      </c>
      <c r="B299" s="60">
        <f>4.53 * CHOOSE(CONTROL!$C$22, $C$13, 100%, $E$13)</f>
        <v>4.53</v>
      </c>
      <c r="C299" s="60">
        <f>4.53 * CHOOSE(CONTROL!$C$22, $C$13, 100%, $E$13)</f>
        <v>4.53</v>
      </c>
      <c r="D299" s="60">
        <f>4.5677 * CHOOSE(CONTROL!$C$22, $C$13, 100%, $E$13)</f>
        <v>4.5677000000000003</v>
      </c>
      <c r="E299" s="61">
        <f>5.009 * CHOOSE(CONTROL!$C$22, $C$13, 100%, $E$13)</f>
        <v>5.0090000000000003</v>
      </c>
      <c r="F299" s="61">
        <f>5.009 * CHOOSE(CONTROL!$C$22, $C$13, 100%, $E$13)</f>
        <v>5.0090000000000003</v>
      </c>
      <c r="G299" s="61">
        <f>5.0113 * CHOOSE(CONTROL!$C$22, $C$13, 100%, $E$13)</f>
        <v>5.0113000000000003</v>
      </c>
      <c r="H299" s="61">
        <f>9.2797* CHOOSE(CONTROL!$C$22, $C$13, 100%, $E$13)</f>
        <v>9.2797000000000001</v>
      </c>
      <c r="I299" s="61">
        <f>9.282 * CHOOSE(CONTROL!$C$22, $C$13, 100%, $E$13)</f>
        <v>9.282</v>
      </c>
      <c r="J299" s="61">
        <f>5.009 * CHOOSE(CONTROL!$C$22, $C$13, 100%, $E$13)</f>
        <v>5.0090000000000003</v>
      </c>
      <c r="K299" s="61">
        <f>5.0113 * CHOOSE(CONTROL!$C$22, $C$13, 100%, $E$13)</f>
        <v>5.0113000000000003</v>
      </c>
    </row>
    <row r="300" spans="1:11" ht="15">
      <c r="A300" s="13">
        <v>50983</v>
      </c>
      <c r="B300" s="60">
        <f>4.5367 * CHOOSE(CONTROL!$C$22, $C$13, 100%, $E$13)</f>
        <v>4.5366999999999997</v>
      </c>
      <c r="C300" s="60">
        <f>4.5367 * CHOOSE(CONTROL!$C$22, $C$13, 100%, $E$13)</f>
        <v>4.5366999999999997</v>
      </c>
      <c r="D300" s="60">
        <f>4.5744 * CHOOSE(CONTROL!$C$22, $C$13, 100%, $E$13)</f>
        <v>4.5743999999999998</v>
      </c>
      <c r="E300" s="61">
        <f>4.9465 * CHOOSE(CONTROL!$C$22, $C$13, 100%, $E$13)</f>
        <v>4.9465000000000003</v>
      </c>
      <c r="F300" s="61">
        <f>4.9465 * CHOOSE(CONTROL!$C$22, $C$13, 100%, $E$13)</f>
        <v>4.9465000000000003</v>
      </c>
      <c r="G300" s="61">
        <f>4.9488 * CHOOSE(CONTROL!$C$22, $C$13, 100%, $E$13)</f>
        <v>4.9488000000000003</v>
      </c>
      <c r="H300" s="61">
        <f>9.299* CHOOSE(CONTROL!$C$22, $C$13, 100%, $E$13)</f>
        <v>9.2989999999999995</v>
      </c>
      <c r="I300" s="61">
        <f>9.3013 * CHOOSE(CONTROL!$C$22, $C$13, 100%, $E$13)</f>
        <v>9.3012999999999995</v>
      </c>
      <c r="J300" s="61">
        <f>4.9465 * CHOOSE(CONTROL!$C$22, $C$13, 100%, $E$13)</f>
        <v>4.9465000000000003</v>
      </c>
      <c r="K300" s="61">
        <f>4.9488 * CHOOSE(CONTROL!$C$22, $C$13, 100%, $E$13)</f>
        <v>4.9488000000000003</v>
      </c>
    </row>
    <row r="301" spans="1:11" ht="15">
      <c r="A301" s="13">
        <v>51014</v>
      </c>
      <c r="B301" s="60">
        <f>4.5337 * CHOOSE(CONTROL!$C$22, $C$13, 100%, $E$13)</f>
        <v>4.5336999999999996</v>
      </c>
      <c r="C301" s="60">
        <f>4.5337 * CHOOSE(CONTROL!$C$22, $C$13, 100%, $E$13)</f>
        <v>4.5336999999999996</v>
      </c>
      <c r="D301" s="60">
        <f>4.5713 * CHOOSE(CONTROL!$C$22, $C$13, 100%, $E$13)</f>
        <v>4.5712999999999999</v>
      </c>
      <c r="E301" s="61">
        <f>4.9369 * CHOOSE(CONTROL!$C$22, $C$13, 100%, $E$13)</f>
        <v>4.9368999999999996</v>
      </c>
      <c r="F301" s="61">
        <f>4.9369 * CHOOSE(CONTROL!$C$22, $C$13, 100%, $E$13)</f>
        <v>4.9368999999999996</v>
      </c>
      <c r="G301" s="61">
        <f>4.9393 * CHOOSE(CONTROL!$C$22, $C$13, 100%, $E$13)</f>
        <v>4.9393000000000002</v>
      </c>
      <c r="H301" s="61">
        <f>9.3184* CHOOSE(CONTROL!$C$22, $C$13, 100%, $E$13)</f>
        <v>9.3184000000000005</v>
      </c>
      <c r="I301" s="61">
        <f>9.3207 * CHOOSE(CONTROL!$C$22, $C$13, 100%, $E$13)</f>
        <v>9.3207000000000004</v>
      </c>
      <c r="J301" s="61">
        <f>4.9369 * CHOOSE(CONTROL!$C$22, $C$13, 100%, $E$13)</f>
        <v>4.9368999999999996</v>
      </c>
      <c r="K301" s="61">
        <f>4.9393 * CHOOSE(CONTROL!$C$22, $C$13, 100%, $E$13)</f>
        <v>4.9393000000000002</v>
      </c>
    </row>
    <row r="302" spans="1:11" ht="15">
      <c r="A302" s="13">
        <v>51044</v>
      </c>
      <c r="B302" s="60">
        <f>4.5309 * CHOOSE(CONTROL!$C$22, $C$13, 100%, $E$13)</f>
        <v>4.5308999999999999</v>
      </c>
      <c r="C302" s="60">
        <f>4.5309 * CHOOSE(CONTROL!$C$22, $C$13, 100%, $E$13)</f>
        <v>4.5308999999999999</v>
      </c>
      <c r="D302" s="60">
        <f>4.5497 * CHOOSE(CONTROL!$C$22, $C$13, 100%, $E$13)</f>
        <v>4.5496999999999996</v>
      </c>
      <c r="E302" s="61">
        <f>4.9534 * CHOOSE(CONTROL!$C$22, $C$13, 100%, $E$13)</f>
        <v>4.9534000000000002</v>
      </c>
      <c r="F302" s="61">
        <f>4.9534 * CHOOSE(CONTROL!$C$22, $C$13, 100%, $E$13)</f>
        <v>4.9534000000000002</v>
      </c>
      <c r="G302" s="61">
        <f>4.9535 * CHOOSE(CONTROL!$C$22, $C$13, 100%, $E$13)</f>
        <v>4.9535</v>
      </c>
      <c r="H302" s="61">
        <f>9.3378* CHOOSE(CONTROL!$C$22, $C$13, 100%, $E$13)</f>
        <v>9.3377999999999997</v>
      </c>
      <c r="I302" s="61">
        <f>9.338 * CHOOSE(CONTROL!$C$22, $C$13, 100%, $E$13)</f>
        <v>9.3379999999999992</v>
      </c>
      <c r="J302" s="61">
        <f>4.9534 * CHOOSE(CONTROL!$C$22, $C$13, 100%, $E$13)</f>
        <v>4.9534000000000002</v>
      </c>
      <c r="K302" s="61">
        <f>4.9535 * CHOOSE(CONTROL!$C$22, $C$13, 100%, $E$13)</f>
        <v>4.9535</v>
      </c>
    </row>
    <row r="303" spans="1:11" ht="15">
      <c r="A303" s="13">
        <v>51075</v>
      </c>
      <c r="B303" s="60">
        <f>4.534 * CHOOSE(CONTROL!$C$22, $C$13, 100%, $E$13)</f>
        <v>4.5339999999999998</v>
      </c>
      <c r="C303" s="60">
        <f>4.534 * CHOOSE(CONTROL!$C$22, $C$13, 100%, $E$13)</f>
        <v>4.5339999999999998</v>
      </c>
      <c r="D303" s="60">
        <f>4.5528 * CHOOSE(CONTROL!$C$22, $C$13, 100%, $E$13)</f>
        <v>4.5528000000000004</v>
      </c>
      <c r="E303" s="61">
        <f>4.9704 * CHOOSE(CONTROL!$C$22, $C$13, 100%, $E$13)</f>
        <v>4.9703999999999997</v>
      </c>
      <c r="F303" s="61">
        <f>4.9704 * CHOOSE(CONTROL!$C$22, $C$13, 100%, $E$13)</f>
        <v>4.9703999999999997</v>
      </c>
      <c r="G303" s="61">
        <f>4.9706 * CHOOSE(CONTROL!$C$22, $C$13, 100%, $E$13)</f>
        <v>4.9706000000000001</v>
      </c>
      <c r="H303" s="61">
        <f>9.3572* CHOOSE(CONTROL!$C$22, $C$13, 100%, $E$13)</f>
        <v>9.3572000000000006</v>
      </c>
      <c r="I303" s="61">
        <f>9.3574 * CHOOSE(CONTROL!$C$22, $C$13, 100%, $E$13)</f>
        <v>9.3574000000000002</v>
      </c>
      <c r="J303" s="61">
        <f>4.9704 * CHOOSE(CONTROL!$C$22, $C$13, 100%, $E$13)</f>
        <v>4.9703999999999997</v>
      </c>
      <c r="K303" s="61">
        <f>4.9706 * CHOOSE(CONTROL!$C$22, $C$13, 100%, $E$13)</f>
        <v>4.9706000000000001</v>
      </c>
    </row>
    <row r="304" spans="1:11" ht="15">
      <c r="A304" s="13">
        <v>51105</v>
      </c>
      <c r="B304" s="60">
        <f>4.534 * CHOOSE(CONTROL!$C$22, $C$13, 100%, $E$13)</f>
        <v>4.5339999999999998</v>
      </c>
      <c r="C304" s="60">
        <f>4.534 * CHOOSE(CONTROL!$C$22, $C$13, 100%, $E$13)</f>
        <v>4.5339999999999998</v>
      </c>
      <c r="D304" s="60">
        <f>4.5528 * CHOOSE(CONTROL!$C$22, $C$13, 100%, $E$13)</f>
        <v>4.5528000000000004</v>
      </c>
      <c r="E304" s="61">
        <f>4.9331 * CHOOSE(CONTROL!$C$22, $C$13, 100%, $E$13)</f>
        <v>4.9330999999999996</v>
      </c>
      <c r="F304" s="61">
        <f>4.9331 * CHOOSE(CONTROL!$C$22, $C$13, 100%, $E$13)</f>
        <v>4.9330999999999996</v>
      </c>
      <c r="G304" s="61">
        <f>4.9333 * CHOOSE(CONTROL!$C$22, $C$13, 100%, $E$13)</f>
        <v>4.9333</v>
      </c>
      <c r="H304" s="61">
        <f>9.3767* CHOOSE(CONTROL!$C$22, $C$13, 100%, $E$13)</f>
        <v>9.3766999999999996</v>
      </c>
      <c r="I304" s="61">
        <f>9.3769 * CHOOSE(CONTROL!$C$22, $C$13, 100%, $E$13)</f>
        <v>9.3768999999999991</v>
      </c>
      <c r="J304" s="61">
        <f>4.9331 * CHOOSE(CONTROL!$C$22, $C$13, 100%, $E$13)</f>
        <v>4.9330999999999996</v>
      </c>
      <c r="K304" s="61">
        <f>4.9333 * CHOOSE(CONTROL!$C$22, $C$13, 100%, $E$13)</f>
        <v>4.9333</v>
      </c>
    </row>
    <row r="305" spans="1:11" ht="15">
      <c r="A305" s="13">
        <v>51136</v>
      </c>
      <c r="B305" s="60">
        <f>4.5746 * CHOOSE(CONTROL!$C$22, $C$13, 100%, $E$13)</f>
        <v>4.5746000000000002</v>
      </c>
      <c r="C305" s="60">
        <f>4.5746 * CHOOSE(CONTROL!$C$22, $C$13, 100%, $E$13)</f>
        <v>4.5746000000000002</v>
      </c>
      <c r="D305" s="60">
        <f>4.5934 * CHOOSE(CONTROL!$C$22, $C$13, 100%, $E$13)</f>
        <v>4.5933999999999999</v>
      </c>
      <c r="E305" s="61">
        <f>5.0083 * CHOOSE(CONTROL!$C$22, $C$13, 100%, $E$13)</f>
        <v>5.0083000000000002</v>
      </c>
      <c r="F305" s="61">
        <f>5.0083 * CHOOSE(CONTROL!$C$22, $C$13, 100%, $E$13)</f>
        <v>5.0083000000000002</v>
      </c>
      <c r="G305" s="61">
        <f>5.0085 * CHOOSE(CONTROL!$C$22, $C$13, 100%, $E$13)</f>
        <v>5.0084999999999997</v>
      </c>
      <c r="H305" s="61">
        <f>9.3963* CHOOSE(CONTROL!$C$22, $C$13, 100%, $E$13)</f>
        <v>9.3963000000000001</v>
      </c>
      <c r="I305" s="61">
        <f>9.3964 * CHOOSE(CONTROL!$C$22, $C$13, 100%, $E$13)</f>
        <v>9.3963999999999999</v>
      </c>
      <c r="J305" s="61">
        <f>5.0083 * CHOOSE(CONTROL!$C$22, $C$13, 100%, $E$13)</f>
        <v>5.0083000000000002</v>
      </c>
      <c r="K305" s="61">
        <f>5.0085 * CHOOSE(CONTROL!$C$22, $C$13, 100%, $E$13)</f>
        <v>5.0084999999999997</v>
      </c>
    </row>
    <row r="306" spans="1:11" ht="15">
      <c r="A306" s="13">
        <v>51167</v>
      </c>
      <c r="B306" s="60">
        <f>4.5716 * CHOOSE(CONTROL!$C$22, $C$13, 100%, $E$13)</f>
        <v>4.5716000000000001</v>
      </c>
      <c r="C306" s="60">
        <f>4.5716 * CHOOSE(CONTROL!$C$22, $C$13, 100%, $E$13)</f>
        <v>4.5716000000000001</v>
      </c>
      <c r="D306" s="60">
        <f>4.5904 * CHOOSE(CONTROL!$C$22, $C$13, 100%, $E$13)</f>
        <v>4.5903999999999998</v>
      </c>
      <c r="E306" s="61">
        <f>4.9335 * CHOOSE(CONTROL!$C$22, $C$13, 100%, $E$13)</f>
        <v>4.9335000000000004</v>
      </c>
      <c r="F306" s="61">
        <f>4.9335 * CHOOSE(CONTROL!$C$22, $C$13, 100%, $E$13)</f>
        <v>4.9335000000000004</v>
      </c>
      <c r="G306" s="61">
        <f>4.9336 * CHOOSE(CONTROL!$C$22, $C$13, 100%, $E$13)</f>
        <v>4.9336000000000002</v>
      </c>
      <c r="H306" s="61">
        <f>9.4158* CHOOSE(CONTROL!$C$22, $C$13, 100%, $E$13)</f>
        <v>9.4158000000000008</v>
      </c>
      <c r="I306" s="61">
        <f>9.416 * CHOOSE(CONTROL!$C$22, $C$13, 100%, $E$13)</f>
        <v>9.4160000000000004</v>
      </c>
      <c r="J306" s="61">
        <f>4.9335 * CHOOSE(CONTROL!$C$22, $C$13, 100%, $E$13)</f>
        <v>4.9335000000000004</v>
      </c>
      <c r="K306" s="61">
        <f>4.9336 * CHOOSE(CONTROL!$C$22, $C$13, 100%, $E$13)</f>
        <v>4.9336000000000002</v>
      </c>
    </row>
    <row r="307" spans="1:11" ht="15">
      <c r="A307" s="13">
        <v>51196</v>
      </c>
      <c r="B307" s="60">
        <f>4.5685 * CHOOSE(CONTROL!$C$22, $C$13, 100%, $E$13)</f>
        <v>4.5685000000000002</v>
      </c>
      <c r="C307" s="60">
        <f>4.5685 * CHOOSE(CONTROL!$C$22, $C$13, 100%, $E$13)</f>
        <v>4.5685000000000002</v>
      </c>
      <c r="D307" s="60">
        <f>4.5873 * CHOOSE(CONTROL!$C$22, $C$13, 100%, $E$13)</f>
        <v>4.5872999999999999</v>
      </c>
      <c r="E307" s="61">
        <f>4.9887 * CHOOSE(CONTROL!$C$22, $C$13, 100%, $E$13)</f>
        <v>4.9886999999999997</v>
      </c>
      <c r="F307" s="61">
        <f>4.9887 * CHOOSE(CONTROL!$C$22, $C$13, 100%, $E$13)</f>
        <v>4.9886999999999997</v>
      </c>
      <c r="G307" s="61">
        <f>4.9888 * CHOOSE(CONTROL!$C$22, $C$13, 100%, $E$13)</f>
        <v>4.9888000000000003</v>
      </c>
      <c r="H307" s="61">
        <f>9.4355* CHOOSE(CONTROL!$C$22, $C$13, 100%, $E$13)</f>
        <v>9.4354999999999993</v>
      </c>
      <c r="I307" s="61">
        <f>9.4356 * CHOOSE(CONTROL!$C$22, $C$13, 100%, $E$13)</f>
        <v>9.4356000000000009</v>
      </c>
      <c r="J307" s="61">
        <f>4.9887 * CHOOSE(CONTROL!$C$22, $C$13, 100%, $E$13)</f>
        <v>4.9886999999999997</v>
      </c>
      <c r="K307" s="61">
        <f>4.9888 * CHOOSE(CONTROL!$C$22, $C$13, 100%, $E$13)</f>
        <v>4.9888000000000003</v>
      </c>
    </row>
    <row r="308" spans="1:11" ht="15">
      <c r="A308" s="13">
        <v>51227</v>
      </c>
      <c r="B308" s="60">
        <f>4.5668 * CHOOSE(CONTROL!$C$22, $C$13, 100%, $E$13)</f>
        <v>4.5667999999999997</v>
      </c>
      <c r="C308" s="60">
        <f>4.5668 * CHOOSE(CONTROL!$C$22, $C$13, 100%, $E$13)</f>
        <v>4.5667999999999997</v>
      </c>
      <c r="D308" s="60">
        <f>4.5856 * CHOOSE(CONTROL!$C$22, $C$13, 100%, $E$13)</f>
        <v>4.5856000000000003</v>
      </c>
      <c r="E308" s="61">
        <f>5.046 * CHOOSE(CONTROL!$C$22, $C$13, 100%, $E$13)</f>
        <v>5.0460000000000003</v>
      </c>
      <c r="F308" s="61">
        <f>5.046 * CHOOSE(CONTROL!$C$22, $C$13, 100%, $E$13)</f>
        <v>5.0460000000000003</v>
      </c>
      <c r="G308" s="61">
        <f>5.0462 * CHOOSE(CONTROL!$C$22, $C$13, 100%, $E$13)</f>
        <v>5.0461999999999998</v>
      </c>
      <c r="H308" s="61">
        <f>9.4551* CHOOSE(CONTROL!$C$22, $C$13, 100%, $E$13)</f>
        <v>9.4550999999999998</v>
      </c>
      <c r="I308" s="61">
        <f>9.4553 * CHOOSE(CONTROL!$C$22, $C$13, 100%, $E$13)</f>
        <v>9.4552999999999994</v>
      </c>
      <c r="J308" s="61">
        <f>5.046 * CHOOSE(CONTROL!$C$22, $C$13, 100%, $E$13)</f>
        <v>5.0460000000000003</v>
      </c>
      <c r="K308" s="61">
        <f>5.0462 * CHOOSE(CONTROL!$C$22, $C$13, 100%, $E$13)</f>
        <v>5.0461999999999998</v>
      </c>
    </row>
    <row r="309" spans="1:11" ht="15">
      <c r="A309" s="13">
        <v>51257</v>
      </c>
      <c r="B309" s="60">
        <f>4.5668 * CHOOSE(CONTROL!$C$22, $C$13, 100%, $E$13)</f>
        <v>4.5667999999999997</v>
      </c>
      <c r="C309" s="60">
        <f>4.5668 * CHOOSE(CONTROL!$C$22, $C$13, 100%, $E$13)</f>
        <v>4.5667999999999997</v>
      </c>
      <c r="D309" s="60">
        <f>4.6044 * CHOOSE(CONTROL!$C$22, $C$13, 100%, $E$13)</f>
        <v>4.6044</v>
      </c>
      <c r="E309" s="61">
        <f>5.0691 * CHOOSE(CONTROL!$C$22, $C$13, 100%, $E$13)</f>
        <v>5.0690999999999997</v>
      </c>
      <c r="F309" s="61">
        <f>5.0691 * CHOOSE(CONTROL!$C$22, $C$13, 100%, $E$13)</f>
        <v>5.0690999999999997</v>
      </c>
      <c r="G309" s="61">
        <f>5.0714 * CHOOSE(CONTROL!$C$22, $C$13, 100%, $E$13)</f>
        <v>5.0713999999999997</v>
      </c>
      <c r="H309" s="61">
        <f>9.4748* CHOOSE(CONTROL!$C$22, $C$13, 100%, $E$13)</f>
        <v>9.4748000000000001</v>
      </c>
      <c r="I309" s="61">
        <f>9.4771 * CHOOSE(CONTROL!$C$22, $C$13, 100%, $E$13)</f>
        <v>9.4771000000000001</v>
      </c>
      <c r="J309" s="61">
        <f>5.0691 * CHOOSE(CONTROL!$C$22, $C$13, 100%, $E$13)</f>
        <v>5.0690999999999997</v>
      </c>
      <c r="K309" s="61">
        <f>5.0714 * CHOOSE(CONTROL!$C$22, $C$13, 100%, $E$13)</f>
        <v>5.0713999999999997</v>
      </c>
    </row>
    <row r="310" spans="1:11" ht="15">
      <c r="A310" s="13">
        <v>51288</v>
      </c>
      <c r="B310" s="60">
        <f>4.5729 * CHOOSE(CONTROL!$C$22, $C$13, 100%, $E$13)</f>
        <v>4.5728999999999997</v>
      </c>
      <c r="C310" s="60">
        <f>4.5729 * CHOOSE(CONTROL!$C$22, $C$13, 100%, $E$13)</f>
        <v>4.5728999999999997</v>
      </c>
      <c r="D310" s="60">
        <f>4.6105 * CHOOSE(CONTROL!$C$22, $C$13, 100%, $E$13)</f>
        <v>4.6105</v>
      </c>
      <c r="E310" s="61">
        <f>5.0502 * CHOOSE(CONTROL!$C$22, $C$13, 100%, $E$13)</f>
        <v>5.0502000000000002</v>
      </c>
      <c r="F310" s="61">
        <f>5.0502 * CHOOSE(CONTROL!$C$22, $C$13, 100%, $E$13)</f>
        <v>5.0502000000000002</v>
      </c>
      <c r="G310" s="61">
        <f>5.0525 * CHOOSE(CONTROL!$C$22, $C$13, 100%, $E$13)</f>
        <v>5.0525000000000002</v>
      </c>
      <c r="H310" s="61">
        <f>9.4946* CHOOSE(CONTROL!$C$22, $C$13, 100%, $E$13)</f>
        <v>9.4946000000000002</v>
      </c>
      <c r="I310" s="61">
        <f>9.4969 * CHOOSE(CONTROL!$C$22, $C$13, 100%, $E$13)</f>
        <v>9.4969000000000001</v>
      </c>
      <c r="J310" s="61">
        <f>5.0502 * CHOOSE(CONTROL!$C$22, $C$13, 100%, $E$13)</f>
        <v>5.0502000000000002</v>
      </c>
      <c r="K310" s="61">
        <f>5.0525 * CHOOSE(CONTROL!$C$22, $C$13, 100%, $E$13)</f>
        <v>5.0525000000000002</v>
      </c>
    </row>
    <row r="311" spans="1:11" ht="15">
      <c r="A311" s="13">
        <v>51318</v>
      </c>
      <c r="B311" s="60">
        <f>4.6474 * CHOOSE(CONTROL!$C$22, $C$13, 100%, $E$13)</f>
        <v>4.6474000000000002</v>
      </c>
      <c r="C311" s="60">
        <f>4.6474 * CHOOSE(CONTROL!$C$22, $C$13, 100%, $E$13)</f>
        <v>4.6474000000000002</v>
      </c>
      <c r="D311" s="60">
        <f>4.685 * CHOOSE(CONTROL!$C$22, $C$13, 100%, $E$13)</f>
        <v>4.6849999999999996</v>
      </c>
      <c r="E311" s="61">
        <f>5.1494 * CHOOSE(CONTROL!$C$22, $C$13, 100%, $E$13)</f>
        <v>5.1494</v>
      </c>
      <c r="F311" s="61">
        <f>5.1494 * CHOOSE(CONTROL!$C$22, $C$13, 100%, $E$13)</f>
        <v>5.1494</v>
      </c>
      <c r="G311" s="61">
        <f>5.1517 * CHOOSE(CONTROL!$C$22, $C$13, 100%, $E$13)</f>
        <v>5.1516999999999999</v>
      </c>
      <c r="H311" s="61">
        <f>9.5143* CHOOSE(CONTROL!$C$22, $C$13, 100%, $E$13)</f>
        <v>9.5143000000000004</v>
      </c>
      <c r="I311" s="61">
        <f>9.5166 * CHOOSE(CONTROL!$C$22, $C$13, 100%, $E$13)</f>
        <v>9.5166000000000004</v>
      </c>
      <c r="J311" s="61">
        <f>5.1494 * CHOOSE(CONTROL!$C$22, $C$13, 100%, $E$13)</f>
        <v>5.1494</v>
      </c>
      <c r="K311" s="61">
        <f>5.1517 * CHOOSE(CONTROL!$C$22, $C$13, 100%, $E$13)</f>
        <v>5.1516999999999999</v>
      </c>
    </row>
    <row r="312" spans="1:11" ht="15">
      <c r="A312" s="13">
        <v>51349</v>
      </c>
      <c r="B312" s="60">
        <f>4.6541 * CHOOSE(CONTROL!$C$22, $C$13, 100%, $E$13)</f>
        <v>4.6540999999999997</v>
      </c>
      <c r="C312" s="60">
        <f>4.6541 * CHOOSE(CONTROL!$C$22, $C$13, 100%, $E$13)</f>
        <v>4.6540999999999997</v>
      </c>
      <c r="D312" s="60">
        <f>4.6917 * CHOOSE(CONTROL!$C$22, $C$13, 100%, $E$13)</f>
        <v>4.6917</v>
      </c>
      <c r="E312" s="61">
        <f>5.0848 * CHOOSE(CONTROL!$C$22, $C$13, 100%, $E$13)</f>
        <v>5.0848000000000004</v>
      </c>
      <c r="F312" s="61">
        <f>5.0848 * CHOOSE(CONTROL!$C$22, $C$13, 100%, $E$13)</f>
        <v>5.0848000000000004</v>
      </c>
      <c r="G312" s="61">
        <f>5.0871 * CHOOSE(CONTROL!$C$22, $C$13, 100%, $E$13)</f>
        <v>5.0871000000000004</v>
      </c>
      <c r="H312" s="61">
        <f>9.5342* CHOOSE(CONTROL!$C$22, $C$13, 100%, $E$13)</f>
        <v>9.5342000000000002</v>
      </c>
      <c r="I312" s="61">
        <f>9.5365 * CHOOSE(CONTROL!$C$22, $C$13, 100%, $E$13)</f>
        <v>9.5365000000000002</v>
      </c>
      <c r="J312" s="61">
        <f>5.0848 * CHOOSE(CONTROL!$C$22, $C$13, 100%, $E$13)</f>
        <v>5.0848000000000004</v>
      </c>
      <c r="K312" s="61">
        <f>5.0871 * CHOOSE(CONTROL!$C$22, $C$13, 100%, $E$13)</f>
        <v>5.0871000000000004</v>
      </c>
    </row>
    <row r="313" spans="1:11" ht="15">
      <c r="A313" s="13">
        <v>51380</v>
      </c>
      <c r="B313" s="60">
        <f>4.651 * CHOOSE(CONTROL!$C$22, $C$13, 100%, $E$13)</f>
        <v>4.6509999999999998</v>
      </c>
      <c r="C313" s="60">
        <f>4.651 * CHOOSE(CONTROL!$C$22, $C$13, 100%, $E$13)</f>
        <v>4.6509999999999998</v>
      </c>
      <c r="D313" s="60">
        <f>4.6886 * CHOOSE(CONTROL!$C$22, $C$13, 100%, $E$13)</f>
        <v>4.6886000000000001</v>
      </c>
      <c r="E313" s="61">
        <f>5.0749 * CHOOSE(CONTROL!$C$22, $C$13, 100%, $E$13)</f>
        <v>5.0749000000000004</v>
      </c>
      <c r="F313" s="61">
        <f>5.0749 * CHOOSE(CONTROL!$C$22, $C$13, 100%, $E$13)</f>
        <v>5.0749000000000004</v>
      </c>
      <c r="G313" s="61">
        <f>5.0773 * CHOOSE(CONTROL!$C$22, $C$13, 100%, $E$13)</f>
        <v>5.0773000000000001</v>
      </c>
      <c r="H313" s="61">
        <f>9.554* CHOOSE(CONTROL!$C$22, $C$13, 100%, $E$13)</f>
        <v>9.5540000000000003</v>
      </c>
      <c r="I313" s="61">
        <f>9.5563 * CHOOSE(CONTROL!$C$22, $C$13, 100%, $E$13)</f>
        <v>9.5563000000000002</v>
      </c>
      <c r="J313" s="61">
        <f>5.0749 * CHOOSE(CONTROL!$C$22, $C$13, 100%, $E$13)</f>
        <v>5.0749000000000004</v>
      </c>
      <c r="K313" s="61">
        <f>5.0773 * CHOOSE(CONTROL!$C$22, $C$13, 100%, $E$13)</f>
        <v>5.0773000000000001</v>
      </c>
    </row>
    <row r="314" spans="1:11" ht="15">
      <c r="A314" s="13">
        <v>51410</v>
      </c>
      <c r="B314" s="60">
        <f>4.6487 * CHOOSE(CONTROL!$C$22, $C$13, 100%, $E$13)</f>
        <v>4.6486999999999998</v>
      </c>
      <c r="C314" s="60">
        <f>4.6487 * CHOOSE(CONTROL!$C$22, $C$13, 100%, $E$13)</f>
        <v>4.6486999999999998</v>
      </c>
      <c r="D314" s="60">
        <f>4.6675 * CHOOSE(CONTROL!$C$22, $C$13, 100%, $E$13)</f>
        <v>4.6675000000000004</v>
      </c>
      <c r="E314" s="61">
        <f>5.0923 * CHOOSE(CONTROL!$C$22, $C$13, 100%, $E$13)</f>
        <v>5.0922999999999998</v>
      </c>
      <c r="F314" s="61">
        <f>5.0923 * CHOOSE(CONTROL!$C$22, $C$13, 100%, $E$13)</f>
        <v>5.0922999999999998</v>
      </c>
      <c r="G314" s="61">
        <f>5.0925 * CHOOSE(CONTROL!$C$22, $C$13, 100%, $E$13)</f>
        <v>5.0925000000000002</v>
      </c>
      <c r="H314" s="61">
        <f>9.5739* CHOOSE(CONTROL!$C$22, $C$13, 100%, $E$13)</f>
        <v>9.5739000000000001</v>
      </c>
      <c r="I314" s="61">
        <f>9.5741 * CHOOSE(CONTROL!$C$22, $C$13, 100%, $E$13)</f>
        <v>9.5740999999999996</v>
      </c>
      <c r="J314" s="61">
        <f>5.0923 * CHOOSE(CONTROL!$C$22, $C$13, 100%, $E$13)</f>
        <v>5.0922999999999998</v>
      </c>
      <c r="K314" s="61">
        <f>5.0925 * CHOOSE(CONTROL!$C$22, $C$13, 100%, $E$13)</f>
        <v>5.0925000000000002</v>
      </c>
    </row>
    <row r="315" spans="1:11" ht="15">
      <c r="A315" s="13">
        <v>51441</v>
      </c>
      <c r="B315" s="60">
        <f>4.6517 * CHOOSE(CONTROL!$C$22, $C$13, 100%, $E$13)</f>
        <v>4.6516999999999999</v>
      </c>
      <c r="C315" s="60">
        <f>4.6517 * CHOOSE(CONTROL!$C$22, $C$13, 100%, $E$13)</f>
        <v>4.6516999999999999</v>
      </c>
      <c r="D315" s="60">
        <f>4.6705 * CHOOSE(CONTROL!$C$22, $C$13, 100%, $E$13)</f>
        <v>4.6704999999999997</v>
      </c>
      <c r="E315" s="61">
        <f>5.1098 * CHOOSE(CONTROL!$C$22, $C$13, 100%, $E$13)</f>
        <v>5.1097999999999999</v>
      </c>
      <c r="F315" s="61">
        <f>5.1098 * CHOOSE(CONTROL!$C$22, $C$13, 100%, $E$13)</f>
        <v>5.1097999999999999</v>
      </c>
      <c r="G315" s="61">
        <f>5.11 * CHOOSE(CONTROL!$C$22, $C$13, 100%, $E$13)</f>
        <v>5.1100000000000003</v>
      </c>
      <c r="H315" s="61">
        <f>9.5939* CHOOSE(CONTROL!$C$22, $C$13, 100%, $E$13)</f>
        <v>9.5938999999999997</v>
      </c>
      <c r="I315" s="61">
        <f>9.594 * CHOOSE(CONTROL!$C$22, $C$13, 100%, $E$13)</f>
        <v>9.5939999999999994</v>
      </c>
      <c r="J315" s="61">
        <f>5.1098 * CHOOSE(CONTROL!$C$22, $C$13, 100%, $E$13)</f>
        <v>5.1097999999999999</v>
      </c>
      <c r="K315" s="61">
        <f>5.11 * CHOOSE(CONTROL!$C$22, $C$13, 100%, $E$13)</f>
        <v>5.1100000000000003</v>
      </c>
    </row>
    <row r="316" spans="1:11" ht="15">
      <c r="A316" s="13">
        <v>51471</v>
      </c>
      <c r="B316" s="60">
        <f>4.6517 * CHOOSE(CONTROL!$C$22, $C$13, 100%, $E$13)</f>
        <v>4.6516999999999999</v>
      </c>
      <c r="C316" s="60">
        <f>4.6517 * CHOOSE(CONTROL!$C$22, $C$13, 100%, $E$13)</f>
        <v>4.6516999999999999</v>
      </c>
      <c r="D316" s="60">
        <f>4.6705 * CHOOSE(CONTROL!$C$22, $C$13, 100%, $E$13)</f>
        <v>4.6704999999999997</v>
      </c>
      <c r="E316" s="61">
        <f>5.0713 * CHOOSE(CONTROL!$C$22, $C$13, 100%, $E$13)</f>
        <v>5.0712999999999999</v>
      </c>
      <c r="F316" s="61">
        <f>5.0713 * CHOOSE(CONTROL!$C$22, $C$13, 100%, $E$13)</f>
        <v>5.0712999999999999</v>
      </c>
      <c r="G316" s="61">
        <f>5.0715 * CHOOSE(CONTROL!$C$22, $C$13, 100%, $E$13)</f>
        <v>5.0715000000000003</v>
      </c>
      <c r="H316" s="61">
        <f>9.6139* CHOOSE(CONTROL!$C$22, $C$13, 100%, $E$13)</f>
        <v>9.6138999999999992</v>
      </c>
      <c r="I316" s="61">
        <f>9.614 * CHOOSE(CONTROL!$C$22, $C$13, 100%, $E$13)</f>
        <v>9.6140000000000008</v>
      </c>
      <c r="J316" s="61">
        <f>5.0713 * CHOOSE(CONTROL!$C$22, $C$13, 100%, $E$13)</f>
        <v>5.0712999999999999</v>
      </c>
      <c r="K316" s="61">
        <f>5.0715 * CHOOSE(CONTROL!$C$22, $C$13, 100%, $E$13)</f>
        <v>5.0715000000000003</v>
      </c>
    </row>
    <row r="317" spans="1:11" ht="15">
      <c r="A317" s="13">
        <v>51502</v>
      </c>
      <c r="B317" s="60">
        <f>4.692 * CHOOSE(CONTROL!$C$22, $C$13, 100%, $E$13)</f>
        <v>4.6920000000000002</v>
      </c>
      <c r="C317" s="60">
        <f>4.692 * CHOOSE(CONTROL!$C$22, $C$13, 100%, $E$13)</f>
        <v>4.6920000000000002</v>
      </c>
      <c r="D317" s="60">
        <f>4.7108 * CHOOSE(CONTROL!$C$22, $C$13, 100%, $E$13)</f>
        <v>4.7107999999999999</v>
      </c>
      <c r="E317" s="61">
        <f>5.1487 * CHOOSE(CONTROL!$C$22, $C$13, 100%, $E$13)</f>
        <v>5.1486999999999998</v>
      </c>
      <c r="F317" s="61">
        <f>5.1487 * CHOOSE(CONTROL!$C$22, $C$13, 100%, $E$13)</f>
        <v>5.1486999999999998</v>
      </c>
      <c r="G317" s="61">
        <f>5.1489 * CHOOSE(CONTROL!$C$22, $C$13, 100%, $E$13)</f>
        <v>5.1489000000000003</v>
      </c>
      <c r="H317" s="61">
        <f>9.6339* CHOOSE(CONTROL!$C$22, $C$13, 100%, $E$13)</f>
        <v>9.6339000000000006</v>
      </c>
      <c r="I317" s="61">
        <f>9.6341 * CHOOSE(CONTROL!$C$22, $C$13, 100%, $E$13)</f>
        <v>9.6341000000000001</v>
      </c>
      <c r="J317" s="61">
        <f>5.1487 * CHOOSE(CONTROL!$C$22, $C$13, 100%, $E$13)</f>
        <v>5.1486999999999998</v>
      </c>
      <c r="K317" s="61">
        <f>5.1489 * CHOOSE(CONTROL!$C$22, $C$13, 100%, $E$13)</f>
        <v>5.1489000000000003</v>
      </c>
    </row>
    <row r="318" spans="1:11" ht="15">
      <c r="A318" s="13">
        <v>51533</v>
      </c>
      <c r="B318" s="60">
        <f>4.689 * CHOOSE(CONTROL!$C$22, $C$13, 100%, $E$13)</f>
        <v>4.6890000000000001</v>
      </c>
      <c r="C318" s="60">
        <f>4.689 * CHOOSE(CONTROL!$C$22, $C$13, 100%, $E$13)</f>
        <v>4.6890000000000001</v>
      </c>
      <c r="D318" s="60">
        <f>4.7078 * CHOOSE(CONTROL!$C$22, $C$13, 100%, $E$13)</f>
        <v>4.7077999999999998</v>
      </c>
      <c r="E318" s="61">
        <f>5.0716 * CHOOSE(CONTROL!$C$22, $C$13, 100%, $E$13)</f>
        <v>5.0716000000000001</v>
      </c>
      <c r="F318" s="61">
        <f>5.0716 * CHOOSE(CONTROL!$C$22, $C$13, 100%, $E$13)</f>
        <v>5.0716000000000001</v>
      </c>
      <c r="G318" s="61">
        <f>5.0718 * CHOOSE(CONTROL!$C$22, $C$13, 100%, $E$13)</f>
        <v>5.0717999999999996</v>
      </c>
      <c r="H318" s="61">
        <f>9.654* CHOOSE(CONTROL!$C$22, $C$13, 100%, $E$13)</f>
        <v>9.6539999999999999</v>
      </c>
      <c r="I318" s="61">
        <f>9.6541 * CHOOSE(CONTROL!$C$22, $C$13, 100%, $E$13)</f>
        <v>9.6540999999999997</v>
      </c>
      <c r="J318" s="61">
        <f>5.0716 * CHOOSE(CONTROL!$C$22, $C$13, 100%, $E$13)</f>
        <v>5.0716000000000001</v>
      </c>
      <c r="K318" s="61">
        <f>5.0718 * CHOOSE(CONTROL!$C$22, $C$13, 100%, $E$13)</f>
        <v>5.0717999999999996</v>
      </c>
    </row>
    <row r="319" spans="1:11" ht="15">
      <c r="A319" s="13">
        <v>51561</v>
      </c>
      <c r="B319" s="60">
        <f>4.6859 * CHOOSE(CONTROL!$C$22, $C$13, 100%, $E$13)</f>
        <v>4.6859000000000002</v>
      </c>
      <c r="C319" s="60">
        <f>4.6859 * CHOOSE(CONTROL!$C$22, $C$13, 100%, $E$13)</f>
        <v>4.6859000000000002</v>
      </c>
      <c r="D319" s="60">
        <f>4.7047 * CHOOSE(CONTROL!$C$22, $C$13, 100%, $E$13)</f>
        <v>4.7046999999999999</v>
      </c>
      <c r="E319" s="61">
        <f>5.1286 * CHOOSE(CONTROL!$C$22, $C$13, 100%, $E$13)</f>
        <v>5.1285999999999996</v>
      </c>
      <c r="F319" s="61">
        <f>5.1286 * CHOOSE(CONTROL!$C$22, $C$13, 100%, $E$13)</f>
        <v>5.1285999999999996</v>
      </c>
      <c r="G319" s="61">
        <f>5.1288 * CHOOSE(CONTROL!$C$22, $C$13, 100%, $E$13)</f>
        <v>5.1288</v>
      </c>
      <c r="H319" s="61">
        <f>9.6741* CHOOSE(CONTROL!$C$22, $C$13, 100%, $E$13)</f>
        <v>9.6740999999999993</v>
      </c>
      <c r="I319" s="61">
        <f>9.6742 * CHOOSE(CONTROL!$C$22, $C$13, 100%, $E$13)</f>
        <v>9.6742000000000008</v>
      </c>
      <c r="J319" s="61">
        <f>5.1286 * CHOOSE(CONTROL!$C$22, $C$13, 100%, $E$13)</f>
        <v>5.1285999999999996</v>
      </c>
      <c r="K319" s="61">
        <f>5.1288 * CHOOSE(CONTROL!$C$22, $C$13, 100%, $E$13)</f>
        <v>5.1288</v>
      </c>
    </row>
    <row r="320" spans="1:11" ht="15">
      <c r="A320" s="13">
        <v>51592</v>
      </c>
      <c r="B320" s="60">
        <f>4.6843 * CHOOSE(CONTROL!$C$22, $C$13, 100%, $E$13)</f>
        <v>4.6843000000000004</v>
      </c>
      <c r="C320" s="60">
        <f>4.6843 * CHOOSE(CONTROL!$C$22, $C$13, 100%, $E$13)</f>
        <v>4.6843000000000004</v>
      </c>
      <c r="D320" s="60">
        <f>4.7031 * CHOOSE(CONTROL!$C$22, $C$13, 100%, $E$13)</f>
        <v>4.7031000000000001</v>
      </c>
      <c r="E320" s="61">
        <f>5.1879 * CHOOSE(CONTROL!$C$22, $C$13, 100%, $E$13)</f>
        <v>5.1879</v>
      </c>
      <c r="F320" s="61">
        <f>5.1879 * CHOOSE(CONTROL!$C$22, $C$13, 100%, $E$13)</f>
        <v>5.1879</v>
      </c>
      <c r="G320" s="61">
        <f>5.1881 * CHOOSE(CONTROL!$C$22, $C$13, 100%, $E$13)</f>
        <v>5.1881000000000004</v>
      </c>
      <c r="H320" s="61">
        <f>9.6942* CHOOSE(CONTROL!$C$22, $C$13, 100%, $E$13)</f>
        <v>9.6942000000000004</v>
      </c>
      <c r="I320" s="61">
        <f>9.6944 * CHOOSE(CONTROL!$C$22, $C$13, 100%, $E$13)</f>
        <v>9.6943999999999999</v>
      </c>
      <c r="J320" s="61">
        <f>5.1879 * CHOOSE(CONTROL!$C$22, $C$13, 100%, $E$13)</f>
        <v>5.1879</v>
      </c>
      <c r="K320" s="61">
        <f>5.1881 * CHOOSE(CONTROL!$C$22, $C$13, 100%, $E$13)</f>
        <v>5.1881000000000004</v>
      </c>
    </row>
    <row r="321" spans="1:11" ht="15">
      <c r="A321" s="13">
        <v>51622</v>
      </c>
      <c r="B321" s="60">
        <f>4.6843 * CHOOSE(CONTROL!$C$22, $C$13, 100%, $E$13)</f>
        <v>4.6843000000000004</v>
      </c>
      <c r="C321" s="60">
        <f>4.6843 * CHOOSE(CONTROL!$C$22, $C$13, 100%, $E$13)</f>
        <v>4.6843000000000004</v>
      </c>
      <c r="D321" s="60">
        <f>4.7219 * CHOOSE(CONTROL!$C$22, $C$13, 100%, $E$13)</f>
        <v>4.7218999999999998</v>
      </c>
      <c r="E321" s="61">
        <f>5.2117 * CHOOSE(CONTROL!$C$22, $C$13, 100%, $E$13)</f>
        <v>5.2117000000000004</v>
      </c>
      <c r="F321" s="61">
        <f>5.2117 * CHOOSE(CONTROL!$C$22, $C$13, 100%, $E$13)</f>
        <v>5.2117000000000004</v>
      </c>
      <c r="G321" s="61">
        <f>5.214 * CHOOSE(CONTROL!$C$22, $C$13, 100%, $E$13)</f>
        <v>5.2140000000000004</v>
      </c>
      <c r="H321" s="61">
        <f>9.7144* CHOOSE(CONTROL!$C$22, $C$13, 100%, $E$13)</f>
        <v>9.7143999999999995</v>
      </c>
      <c r="I321" s="61">
        <f>9.7167 * CHOOSE(CONTROL!$C$22, $C$13, 100%, $E$13)</f>
        <v>9.7166999999999994</v>
      </c>
      <c r="J321" s="61">
        <f>5.2117 * CHOOSE(CONTROL!$C$22, $C$13, 100%, $E$13)</f>
        <v>5.2117000000000004</v>
      </c>
      <c r="K321" s="61">
        <f>5.214 * CHOOSE(CONTROL!$C$22, $C$13, 100%, $E$13)</f>
        <v>5.2140000000000004</v>
      </c>
    </row>
    <row r="322" spans="1:11" ht="15">
      <c r="A322" s="13">
        <v>51653</v>
      </c>
      <c r="B322" s="60">
        <f>4.6904 * CHOOSE(CONTROL!$C$22, $C$13, 100%, $E$13)</f>
        <v>4.6904000000000003</v>
      </c>
      <c r="C322" s="60">
        <f>4.6904 * CHOOSE(CONTROL!$C$22, $C$13, 100%, $E$13)</f>
        <v>4.6904000000000003</v>
      </c>
      <c r="D322" s="60">
        <f>4.728 * CHOOSE(CONTROL!$C$22, $C$13, 100%, $E$13)</f>
        <v>4.7279999999999998</v>
      </c>
      <c r="E322" s="61">
        <f>5.1921 * CHOOSE(CONTROL!$C$22, $C$13, 100%, $E$13)</f>
        <v>5.1920999999999999</v>
      </c>
      <c r="F322" s="61">
        <f>5.1921 * CHOOSE(CONTROL!$C$22, $C$13, 100%, $E$13)</f>
        <v>5.1920999999999999</v>
      </c>
      <c r="G322" s="61">
        <f>5.1945 * CHOOSE(CONTROL!$C$22, $C$13, 100%, $E$13)</f>
        <v>5.1944999999999997</v>
      </c>
      <c r="H322" s="61">
        <f>9.7347* CHOOSE(CONTROL!$C$22, $C$13, 100%, $E$13)</f>
        <v>9.7347000000000001</v>
      </c>
      <c r="I322" s="61">
        <f>9.737 * CHOOSE(CONTROL!$C$22, $C$13, 100%, $E$13)</f>
        <v>9.7370000000000001</v>
      </c>
      <c r="J322" s="61">
        <f>5.1921 * CHOOSE(CONTROL!$C$22, $C$13, 100%, $E$13)</f>
        <v>5.1920999999999999</v>
      </c>
      <c r="K322" s="61">
        <f>5.1945 * CHOOSE(CONTROL!$C$22, $C$13, 100%, $E$13)</f>
        <v>5.1944999999999997</v>
      </c>
    </row>
    <row r="323" spans="1:11" ht="15">
      <c r="A323" s="13">
        <v>51683</v>
      </c>
      <c r="B323" s="60">
        <f>4.7637 * CHOOSE(CONTROL!$C$22, $C$13, 100%, $E$13)</f>
        <v>4.7637</v>
      </c>
      <c r="C323" s="60">
        <f>4.7637 * CHOOSE(CONTROL!$C$22, $C$13, 100%, $E$13)</f>
        <v>4.7637</v>
      </c>
      <c r="D323" s="60">
        <f>4.8013 * CHOOSE(CONTROL!$C$22, $C$13, 100%, $E$13)</f>
        <v>4.8013000000000003</v>
      </c>
      <c r="E323" s="61">
        <f>5.2939 * CHOOSE(CONTROL!$C$22, $C$13, 100%, $E$13)</f>
        <v>5.2938999999999998</v>
      </c>
      <c r="F323" s="61">
        <f>5.2939 * CHOOSE(CONTROL!$C$22, $C$13, 100%, $E$13)</f>
        <v>5.2938999999999998</v>
      </c>
      <c r="G323" s="61">
        <f>5.2962 * CHOOSE(CONTROL!$C$22, $C$13, 100%, $E$13)</f>
        <v>5.2961999999999998</v>
      </c>
      <c r="H323" s="61">
        <f>9.7549* CHOOSE(CONTROL!$C$22, $C$13, 100%, $E$13)</f>
        <v>9.7548999999999992</v>
      </c>
      <c r="I323" s="61">
        <f>9.7573 * CHOOSE(CONTROL!$C$22, $C$13, 100%, $E$13)</f>
        <v>9.7573000000000008</v>
      </c>
      <c r="J323" s="61">
        <f>5.2939 * CHOOSE(CONTROL!$C$22, $C$13, 100%, $E$13)</f>
        <v>5.2938999999999998</v>
      </c>
      <c r="K323" s="61">
        <f>5.2962 * CHOOSE(CONTROL!$C$22, $C$13, 100%, $E$13)</f>
        <v>5.2961999999999998</v>
      </c>
    </row>
    <row r="324" spans="1:11" ht="15">
      <c r="A324" s="13">
        <v>51714</v>
      </c>
      <c r="B324" s="60">
        <f>4.7704 * CHOOSE(CONTROL!$C$22, $C$13, 100%, $E$13)</f>
        <v>4.7704000000000004</v>
      </c>
      <c r="C324" s="60">
        <f>4.7704 * CHOOSE(CONTROL!$C$22, $C$13, 100%, $E$13)</f>
        <v>4.7704000000000004</v>
      </c>
      <c r="D324" s="60">
        <f>4.808 * CHOOSE(CONTROL!$C$22, $C$13, 100%, $E$13)</f>
        <v>4.8079999999999998</v>
      </c>
      <c r="E324" s="61">
        <f>5.2271 * CHOOSE(CONTROL!$C$22, $C$13, 100%, $E$13)</f>
        <v>5.2271000000000001</v>
      </c>
      <c r="F324" s="61">
        <f>5.2271 * CHOOSE(CONTROL!$C$22, $C$13, 100%, $E$13)</f>
        <v>5.2271000000000001</v>
      </c>
      <c r="G324" s="61">
        <f>5.2294 * CHOOSE(CONTROL!$C$22, $C$13, 100%, $E$13)</f>
        <v>5.2294</v>
      </c>
      <c r="H324" s="61">
        <f>9.7753* CHOOSE(CONTROL!$C$22, $C$13, 100%, $E$13)</f>
        <v>9.7752999999999997</v>
      </c>
      <c r="I324" s="61">
        <f>9.7776 * CHOOSE(CONTROL!$C$22, $C$13, 100%, $E$13)</f>
        <v>9.7775999999999996</v>
      </c>
      <c r="J324" s="61">
        <f>5.2271 * CHOOSE(CONTROL!$C$22, $C$13, 100%, $E$13)</f>
        <v>5.2271000000000001</v>
      </c>
      <c r="K324" s="61">
        <f>5.2294 * CHOOSE(CONTROL!$C$22, $C$13, 100%, $E$13)</f>
        <v>5.2294</v>
      </c>
    </row>
    <row r="325" spans="1:11" ht="15">
      <c r="A325" s="13">
        <v>51745</v>
      </c>
      <c r="B325" s="60">
        <f>4.7673 * CHOOSE(CONTROL!$C$22, $C$13, 100%, $E$13)</f>
        <v>4.7672999999999996</v>
      </c>
      <c r="C325" s="60">
        <f>4.7673 * CHOOSE(CONTROL!$C$22, $C$13, 100%, $E$13)</f>
        <v>4.7672999999999996</v>
      </c>
      <c r="D325" s="60">
        <f>4.8049 * CHOOSE(CONTROL!$C$22, $C$13, 100%, $E$13)</f>
        <v>4.8048999999999999</v>
      </c>
      <c r="E325" s="61">
        <f>5.217 * CHOOSE(CONTROL!$C$22, $C$13, 100%, $E$13)</f>
        <v>5.2169999999999996</v>
      </c>
      <c r="F325" s="61">
        <f>5.217 * CHOOSE(CONTROL!$C$22, $C$13, 100%, $E$13)</f>
        <v>5.2169999999999996</v>
      </c>
      <c r="G325" s="61">
        <f>5.2193 * CHOOSE(CONTROL!$C$22, $C$13, 100%, $E$13)</f>
        <v>5.2192999999999996</v>
      </c>
      <c r="H325" s="61">
        <f>9.7956* CHOOSE(CONTROL!$C$22, $C$13, 100%, $E$13)</f>
        <v>9.7956000000000003</v>
      </c>
      <c r="I325" s="61">
        <f>9.7979 * CHOOSE(CONTROL!$C$22, $C$13, 100%, $E$13)</f>
        <v>9.7979000000000003</v>
      </c>
      <c r="J325" s="61">
        <f>5.217 * CHOOSE(CONTROL!$C$22, $C$13, 100%, $E$13)</f>
        <v>5.2169999999999996</v>
      </c>
      <c r="K325" s="61">
        <f>5.2193 * CHOOSE(CONTROL!$C$22, $C$13, 100%, $E$13)</f>
        <v>5.2192999999999996</v>
      </c>
    </row>
    <row r="326" spans="1:11" ht="15">
      <c r="A326" s="13">
        <v>51775</v>
      </c>
      <c r="B326" s="60">
        <f>4.7654 * CHOOSE(CONTROL!$C$22, $C$13, 100%, $E$13)</f>
        <v>4.7653999999999996</v>
      </c>
      <c r="C326" s="60">
        <f>4.7654 * CHOOSE(CONTROL!$C$22, $C$13, 100%, $E$13)</f>
        <v>4.7653999999999996</v>
      </c>
      <c r="D326" s="60">
        <f>4.7842 * CHOOSE(CONTROL!$C$22, $C$13, 100%, $E$13)</f>
        <v>4.7842000000000002</v>
      </c>
      <c r="E326" s="61">
        <f>5.2354 * CHOOSE(CONTROL!$C$22, $C$13, 100%, $E$13)</f>
        <v>5.2354000000000003</v>
      </c>
      <c r="F326" s="61">
        <f>5.2354 * CHOOSE(CONTROL!$C$22, $C$13, 100%, $E$13)</f>
        <v>5.2354000000000003</v>
      </c>
      <c r="G326" s="61">
        <f>5.2355 * CHOOSE(CONTROL!$C$22, $C$13, 100%, $E$13)</f>
        <v>5.2355</v>
      </c>
      <c r="H326" s="61">
        <f>9.816* CHOOSE(CONTROL!$C$22, $C$13, 100%, $E$13)</f>
        <v>9.8160000000000007</v>
      </c>
      <c r="I326" s="61">
        <f>9.8162 * CHOOSE(CONTROL!$C$22, $C$13, 100%, $E$13)</f>
        <v>9.8162000000000003</v>
      </c>
      <c r="J326" s="61">
        <f>5.2354 * CHOOSE(CONTROL!$C$22, $C$13, 100%, $E$13)</f>
        <v>5.2354000000000003</v>
      </c>
      <c r="K326" s="61">
        <f>5.2355 * CHOOSE(CONTROL!$C$22, $C$13, 100%, $E$13)</f>
        <v>5.2355</v>
      </c>
    </row>
    <row r="327" spans="1:11" ht="15">
      <c r="A327" s="13">
        <v>51806</v>
      </c>
      <c r="B327" s="60">
        <f>4.7685 * CHOOSE(CONTROL!$C$22, $C$13, 100%, $E$13)</f>
        <v>4.7685000000000004</v>
      </c>
      <c r="C327" s="60">
        <f>4.7685 * CHOOSE(CONTROL!$C$22, $C$13, 100%, $E$13)</f>
        <v>4.7685000000000004</v>
      </c>
      <c r="D327" s="60">
        <f>4.7873 * CHOOSE(CONTROL!$C$22, $C$13, 100%, $E$13)</f>
        <v>4.7873000000000001</v>
      </c>
      <c r="E327" s="61">
        <f>5.2534 * CHOOSE(CONTROL!$C$22, $C$13, 100%, $E$13)</f>
        <v>5.2534000000000001</v>
      </c>
      <c r="F327" s="61">
        <f>5.2534 * CHOOSE(CONTROL!$C$22, $C$13, 100%, $E$13)</f>
        <v>5.2534000000000001</v>
      </c>
      <c r="G327" s="61">
        <f>5.2535 * CHOOSE(CONTROL!$C$22, $C$13, 100%, $E$13)</f>
        <v>5.2534999999999998</v>
      </c>
      <c r="H327" s="61">
        <f>9.8365* CHOOSE(CONTROL!$C$22, $C$13, 100%, $E$13)</f>
        <v>9.8364999999999991</v>
      </c>
      <c r="I327" s="61">
        <f>9.8367 * CHOOSE(CONTROL!$C$22, $C$13, 100%, $E$13)</f>
        <v>9.8367000000000004</v>
      </c>
      <c r="J327" s="61">
        <f>5.2534 * CHOOSE(CONTROL!$C$22, $C$13, 100%, $E$13)</f>
        <v>5.2534000000000001</v>
      </c>
      <c r="K327" s="61">
        <f>5.2535 * CHOOSE(CONTROL!$C$22, $C$13, 100%, $E$13)</f>
        <v>5.2534999999999998</v>
      </c>
    </row>
    <row r="328" spans="1:11" ht="15">
      <c r="A328" s="13">
        <v>51836</v>
      </c>
      <c r="B328" s="60">
        <f>4.7685 * CHOOSE(CONTROL!$C$22, $C$13, 100%, $E$13)</f>
        <v>4.7685000000000004</v>
      </c>
      <c r="C328" s="60">
        <f>4.7685 * CHOOSE(CONTROL!$C$22, $C$13, 100%, $E$13)</f>
        <v>4.7685000000000004</v>
      </c>
      <c r="D328" s="60">
        <f>4.7873 * CHOOSE(CONTROL!$C$22, $C$13, 100%, $E$13)</f>
        <v>4.7873000000000001</v>
      </c>
      <c r="E328" s="61">
        <f>5.2137 * CHOOSE(CONTROL!$C$22, $C$13, 100%, $E$13)</f>
        <v>5.2137000000000002</v>
      </c>
      <c r="F328" s="61">
        <f>5.2137 * CHOOSE(CONTROL!$C$22, $C$13, 100%, $E$13)</f>
        <v>5.2137000000000002</v>
      </c>
      <c r="G328" s="61">
        <f>5.2138 * CHOOSE(CONTROL!$C$22, $C$13, 100%, $E$13)</f>
        <v>5.2138</v>
      </c>
      <c r="H328" s="61">
        <f>9.857* CHOOSE(CONTROL!$C$22, $C$13, 100%, $E$13)</f>
        <v>9.8569999999999993</v>
      </c>
      <c r="I328" s="61">
        <f>9.8572 * CHOOSE(CONTROL!$C$22, $C$13, 100%, $E$13)</f>
        <v>9.8572000000000006</v>
      </c>
      <c r="J328" s="61">
        <f>5.2137 * CHOOSE(CONTROL!$C$22, $C$13, 100%, $E$13)</f>
        <v>5.2137000000000002</v>
      </c>
      <c r="K328" s="61">
        <f>5.2138 * CHOOSE(CONTROL!$C$22, $C$13, 100%, $E$13)</f>
        <v>5.2138</v>
      </c>
    </row>
    <row r="329" spans="1:11" ht="15">
      <c r="A329" s="13">
        <v>51867</v>
      </c>
      <c r="B329" s="60">
        <f>4.8103 * CHOOSE(CONTROL!$C$22, $C$13, 100%, $E$13)</f>
        <v>4.8102999999999998</v>
      </c>
      <c r="C329" s="60">
        <f>4.8103 * CHOOSE(CONTROL!$C$22, $C$13, 100%, $E$13)</f>
        <v>4.8102999999999998</v>
      </c>
      <c r="D329" s="60">
        <f>4.8291 * CHOOSE(CONTROL!$C$22, $C$13, 100%, $E$13)</f>
        <v>4.8291000000000004</v>
      </c>
      <c r="E329" s="61">
        <f>5.2932 * CHOOSE(CONTROL!$C$22, $C$13, 100%, $E$13)</f>
        <v>5.2931999999999997</v>
      </c>
      <c r="F329" s="61">
        <f>5.2932 * CHOOSE(CONTROL!$C$22, $C$13, 100%, $E$13)</f>
        <v>5.2931999999999997</v>
      </c>
      <c r="G329" s="61">
        <f>5.2934 * CHOOSE(CONTROL!$C$22, $C$13, 100%, $E$13)</f>
        <v>5.2934000000000001</v>
      </c>
      <c r="H329" s="61">
        <f>9.8775* CHOOSE(CONTROL!$C$22, $C$13, 100%, $E$13)</f>
        <v>9.8774999999999995</v>
      </c>
      <c r="I329" s="61">
        <f>9.8777 * CHOOSE(CONTROL!$C$22, $C$13, 100%, $E$13)</f>
        <v>9.8777000000000008</v>
      </c>
      <c r="J329" s="61">
        <f>5.2932 * CHOOSE(CONTROL!$C$22, $C$13, 100%, $E$13)</f>
        <v>5.2931999999999997</v>
      </c>
      <c r="K329" s="61">
        <f>5.2934 * CHOOSE(CONTROL!$C$22, $C$13, 100%, $E$13)</f>
        <v>5.2934000000000001</v>
      </c>
    </row>
    <row r="330" spans="1:11" ht="15">
      <c r="A330" s="13">
        <v>51898</v>
      </c>
      <c r="B330" s="60">
        <f>4.8073 * CHOOSE(CONTROL!$C$22, $C$13, 100%, $E$13)</f>
        <v>4.8072999999999997</v>
      </c>
      <c r="C330" s="60">
        <f>4.8073 * CHOOSE(CONTROL!$C$22, $C$13, 100%, $E$13)</f>
        <v>4.8072999999999997</v>
      </c>
      <c r="D330" s="60">
        <f>4.8261 * CHOOSE(CONTROL!$C$22, $C$13, 100%, $E$13)</f>
        <v>4.8261000000000003</v>
      </c>
      <c r="E330" s="61">
        <f>5.2137 * CHOOSE(CONTROL!$C$22, $C$13, 100%, $E$13)</f>
        <v>5.2137000000000002</v>
      </c>
      <c r="F330" s="61">
        <f>5.2137 * CHOOSE(CONTROL!$C$22, $C$13, 100%, $E$13)</f>
        <v>5.2137000000000002</v>
      </c>
      <c r="G330" s="61">
        <f>5.2139 * CHOOSE(CONTROL!$C$22, $C$13, 100%, $E$13)</f>
        <v>5.2138999999999998</v>
      </c>
      <c r="H330" s="61">
        <f>9.8981* CHOOSE(CONTROL!$C$22, $C$13, 100%, $E$13)</f>
        <v>9.8980999999999995</v>
      </c>
      <c r="I330" s="61">
        <f>9.8983 * CHOOSE(CONTROL!$C$22, $C$13, 100%, $E$13)</f>
        <v>9.8983000000000008</v>
      </c>
      <c r="J330" s="61">
        <f>5.2137 * CHOOSE(CONTROL!$C$22, $C$13, 100%, $E$13)</f>
        <v>5.2137000000000002</v>
      </c>
      <c r="K330" s="61">
        <f>5.2139 * CHOOSE(CONTROL!$C$22, $C$13, 100%, $E$13)</f>
        <v>5.2138999999999998</v>
      </c>
    </row>
    <row r="331" spans="1:11" ht="15">
      <c r="A331" s="13">
        <v>51926</v>
      </c>
      <c r="B331" s="60">
        <f>4.8042 * CHOOSE(CONTROL!$C$22, $C$13, 100%, $E$13)</f>
        <v>4.8041999999999998</v>
      </c>
      <c r="C331" s="60">
        <f>4.8042 * CHOOSE(CONTROL!$C$22, $C$13, 100%, $E$13)</f>
        <v>4.8041999999999998</v>
      </c>
      <c r="D331" s="60">
        <f>4.823 * CHOOSE(CONTROL!$C$22, $C$13, 100%, $E$13)</f>
        <v>4.8230000000000004</v>
      </c>
      <c r="E331" s="61">
        <f>5.2726 * CHOOSE(CONTROL!$C$22, $C$13, 100%, $E$13)</f>
        <v>5.2725999999999997</v>
      </c>
      <c r="F331" s="61">
        <f>5.2726 * CHOOSE(CONTROL!$C$22, $C$13, 100%, $E$13)</f>
        <v>5.2725999999999997</v>
      </c>
      <c r="G331" s="61">
        <f>5.2728 * CHOOSE(CONTROL!$C$22, $C$13, 100%, $E$13)</f>
        <v>5.2728000000000002</v>
      </c>
      <c r="H331" s="61">
        <f>9.9187* CHOOSE(CONTROL!$C$22, $C$13, 100%, $E$13)</f>
        <v>9.9186999999999994</v>
      </c>
      <c r="I331" s="61">
        <f>9.9189 * CHOOSE(CONTROL!$C$22, $C$13, 100%, $E$13)</f>
        <v>9.9189000000000007</v>
      </c>
      <c r="J331" s="61">
        <f>5.2726 * CHOOSE(CONTROL!$C$22, $C$13, 100%, $E$13)</f>
        <v>5.2725999999999997</v>
      </c>
      <c r="K331" s="61">
        <f>5.2728 * CHOOSE(CONTROL!$C$22, $C$13, 100%, $E$13)</f>
        <v>5.2728000000000002</v>
      </c>
    </row>
    <row r="332" spans="1:11" ht="15">
      <c r="A332" s="13">
        <v>51957</v>
      </c>
      <c r="B332" s="60">
        <f>4.8027 * CHOOSE(CONTROL!$C$22, $C$13, 100%, $E$13)</f>
        <v>4.8026999999999997</v>
      </c>
      <c r="C332" s="60">
        <f>4.8027 * CHOOSE(CONTROL!$C$22, $C$13, 100%, $E$13)</f>
        <v>4.8026999999999997</v>
      </c>
      <c r="D332" s="60">
        <f>4.8215 * CHOOSE(CONTROL!$C$22, $C$13, 100%, $E$13)</f>
        <v>4.8215000000000003</v>
      </c>
      <c r="E332" s="61">
        <f>5.3339 * CHOOSE(CONTROL!$C$22, $C$13, 100%, $E$13)</f>
        <v>5.3338999999999999</v>
      </c>
      <c r="F332" s="61">
        <f>5.3339 * CHOOSE(CONTROL!$C$22, $C$13, 100%, $E$13)</f>
        <v>5.3338999999999999</v>
      </c>
      <c r="G332" s="61">
        <f>5.3341 * CHOOSE(CONTROL!$C$22, $C$13, 100%, $E$13)</f>
        <v>5.3341000000000003</v>
      </c>
      <c r="H332" s="61">
        <f>9.9394* CHOOSE(CONTROL!$C$22, $C$13, 100%, $E$13)</f>
        <v>9.9393999999999991</v>
      </c>
      <c r="I332" s="61">
        <f>9.9395 * CHOOSE(CONTROL!$C$22, $C$13, 100%, $E$13)</f>
        <v>9.9395000000000007</v>
      </c>
      <c r="J332" s="61">
        <f>5.3339 * CHOOSE(CONTROL!$C$22, $C$13, 100%, $E$13)</f>
        <v>5.3338999999999999</v>
      </c>
      <c r="K332" s="61">
        <f>5.3341 * CHOOSE(CONTROL!$C$22, $C$13, 100%, $E$13)</f>
        <v>5.3341000000000003</v>
      </c>
    </row>
    <row r="333" spans="1:11" ht="15">
      <c r="A333" s="13">
        <v>51987</v>
      </c>
      <c r="B333" s="60">
        <f>4.8027 * CHOOSE(CONTROL!$C$22, $C$13, 100%, $E$13)</f>
        <v>4.8026999999999997</v>
      </c>
      <c r="C333" s="60">
        <f>4.8027 * CHOOSE(CONTROL!$C$22, $C$13, 100%, $E$13)</f>
        <v>4.8026999999999997</v>
      </c>
      <c r="D333" s="60">
        <f>4.8403 * CHOOSE(CONTROL!$C$22, $C$13, 100%, $E$13)</f>
        <v>4.8403</v>
      </c>
      <c r="E333" s="61">
        <f>5.3585 * CHOOSE(CONTROL!$C$22, $C$13, 100%, $E$13)</f>
        <v>5.3585000000000003</v>
      </c>
      <c r="F333" s="61">
        <f>5.3585 * CHOOSE(CONTROL!$C$22, $C$13, 100%, $E$13)</f>
        <v>5.3585000000000003</v>
      </c>
      <c r="G333" s="61">
        <f>5.3608 * CHOOSE(CONTROL!$C$22, $C$13, 100%, $E$13)</f>
        <v>5.3608000000000002</v>
      </c>
      <c r="H333" s="61">
        <f>9.9601* CHOOSE(CONTROL!$C$22, $C$13, 100%, $E$13)</f>
        <v>9.9601000000000006</v>
      </c>
      <c r="I333" s="61">
        <f>9.9624 * CHOOSE(CONTROL!$C$22, $C$13, 100%, $E$13)</f>
        <v>9.9624000000000006</v>
      </c>
      <c r="J333" s="61">
        <f>5.3585 * CHOOSE(CONTROL!$C$22, $C$13, 100%, $E$13)</f>
        <v>5.3585000000000003</v>
      </c>
      <c r="K333" s="61">
        <f>5.3608 * CHOOSE(CONTROL!$C$22, $C$13, 100%, $E$13)</f>
        <v>5.3608000000000002</v>
      </c>
    </row>
    <row r="334" spans="1:11" ht="15">
      <c r="A334" s="13">
        <v>52018</v>
      </c>
      <c r="B334" s="60">
        <f>4.8088 * CHOOSE(CONTROL!$C$22, $C$13, 100%, $E$13)</f>
        <v>4.8087999999999997</v>
      </c>
      <c r="C334" s="60">
        <f>4.8088 * CHOOSE(CONTROL!$C$22, $C$13, 100%, $E$13)</f>
        <v>4.8087999999999997</v>
      </c>
      <c r="D334" s="60">
        <f>4.8464 * CHOOSE(CONTROL!$C$22, $C$13, 100%, $E$13)</f>
        <v>4.8464</v>
      </c>
      <c r="E334" s="61">
        <f>5.3382 * CHOOSE(CONTROL!$C$22, $C$13, 100%, $E$13)</f>
        <v>5.3381999999999996</v>
      </c>
      <c r="F334" s="61">
        <f>5.3382 * CHOOSE(CONTROL!$C$22, $C$13, 100%, $E$13)</f>
        <v>5.3381999999999996</v>
      </c>
      <c r="G334" s="61">
        <f>5.3405 * CHOOSE(CONTROL!$C$22, $C$13, 100%, $E$13)</f>
        <v>5.3404999999999996</v>
      </c>
      <c r="H334" s="61">
        <f>9.9808* CHOOSE(CONTROL!$C$22, $C$13, 100%, $E$13)</f>
        <v>9.9808000000000003</v>
      </c>
      <c r="I334" s="61">
        <f>9.9831 * CHOOSE(CONTROL!$C$22, $C$13, 100%, $E$13)</f>
        <v>9.9831000000000003</v>
      </c>
      <c r="J334" s="61">
        <f>5.3382 * CHOOSE(CONTROL!$C$22, $C$13, 100%, $E$13)</f>
        <v>5.3381999999999996</v>
      </c>
      <c r="K334" s="61">
        <f>5.3405 * CHOOSE(CONTROL!$C$22, $C$13, 100%, $E$13)</f>
        <v>5.3404999999999996</v>
      </c>
    </row>
    <row r="335" spans="1:11" ht="15">
      <c r="A335" s="13">
        <v>52048</v>
      </c>
      <c r="B335" s="60">
        <f>4.885 * CHOOSE(CONTROL!$C$22, $C$13, 100%, $E$13)</f>
        <v>4.8849999999999998</v>
      </c>
      <c r="C335" s="60">
        <f>4.885 * CHOOSE(CONTROL!$C$22, $C$13, 100%, $E$13)</f>
        <v>4.8849999999999998</v>
      </c>
      <c r="D335" s="60">
        <f>4.9226 * CHOOSE(CONTROL!$C$22, $C$13, 100%, $E$13)</f>
        <v>4.9226000000000001</v>
      </c>
      <c r="E335" s="61">
        <f>5.4424 * CHOOSE(CONTROL!$C$22, $C$13, 100%, $E$13)</f>
        <v>5.4424000000000001</v>
      </c>
      <c r="F335" s="61">
        <f>5.4424 * CHOOSE(CONTROL!$C$22, $C$13, 100%, $E$13)</f>
        <v>5.4424000000000001</v>
      </c>
      <c r="G335" s="61">
        <f>5.4447 * CHOOSE(CONTROL!$C$22, $C$13, 100%, $E$13)</f>
        <v>5.4447000000000001</v>
      </c>
      <c r="H335" s="61">
        <f>10.0016* CHOOSE(CONTROL!$C$22, $C$13, 100%, $E$13)</f>
        <v>10.0016</v>
      </c>
      <c r="I335" s="61">
        <f>10.0039 * CHOOSE(CONTROL!$C$22, $C$13, 100%, $E$13)</f>
        <v>10.0039</v>
      </c>
      <c r="J335" s="61">
        <f>5.4424 * CHOOSE(CONTROL!$C$22, $C$13, 100%, $E$13)</f>
        <v>5.4424000000000001</v>
      </c>
      <c r="K335" s="61">
        <f>5.4447 * CHOOSE(CONTROL!$C$22, $C$13, 100%, $E$13)</f>
        <v>5.4447000000000001</v>
      </c>
    </row>
    <row r="336" spans="1:11" ht="15">
      <c r="A336" s="13">
        <v>52079</v>
      </c>
      <c r="B336" s="60">
        <f>4.8917 * CHOOSE(CONTROL!$C$22, $C$13, 100%, $E$13)</f>
        <v>4.8917000000000002</v>
      </c>
      <c r="C336" s="60">
        <f>4.8917 * CHOOSE(CONTROL!$C$22, $C$13, 100%, $E$13)</f>
        <v>4.8917000000000002</v>
      </c>
      <c r="D336" s="60">
        <f>4.9293 * CHOOSE(CONTROL!$C$22, $C$13, 100%, $E$13)</f>
        <v>4.9292999999999996</v>
      </c>
      <c r="E336" s="61">
        <f>5.3733 * CHOOSE(CONTROL!$C$22, $C$13, 100%, $E$13)</f>
        <v>5.3733000000000004</v>
      </c>
      <c r="F336" s="61">
        <f>5.3733 * CHOOSE(CONTROL!$C$22, $C$13, 100%, $E$13)</f>
        <v>5.3733000000000004</v>
      </c>
      <c r="G336" s="61">
        <f>5.3756 * CHOOSE(CONTROL!$C$22, $C$13, 100%, $E$13)</f>
        <v>5.3756000000000004</v>
      </c>
      <c r="H336" s="61">
        <f>10.0225* CHOOSE(CONTROL!$C$22, $C$13, 100%, $E$13)</f>
        <v>10.022500000000001</v>
      </c>
      <c r="I336" s="61">
        <f>10.0248 * CHOOSE(CONTROL!$C$22, $C$13, 100%, $E$13)</f>
        <v>10.024800000000001</v>
      </c>
      <c r="J336" s="61">
        <f>5.3733 * CHOOSE(CONTROL!$C$22, $C$13, 100%, $E$13)</f>
        <v>5.3733000000000004</v>
      </c>
      <c r="K336" s="61">
        <f>5.3756 * CHOOSE(CONTROL!$C$22, $C$13, 100%, $E$13)</f>
        <v>5.3756000000000004</v>
      </c>
    </row>
    <row r="337" spans="1:11" ht="15">
      <c r="A337" s="13">
        <v>52110</v>
      </c>
      <c r="B337" s="60">
        <f>4.8886 * CHOOSE(CONTROL!$C$22, $C$13, 100%, $E$13)</f>
        <v>4.8886000000000003</v>
      </c>
      <c r="C337" s="60">
        <f>4.8886 * CHOOSE(CONTROL!$C$22, $C$13, 100%, $E$13)</f>
        <v>4.8886000000000003</v>
      </c>
      <c r="D337" s="60">
        <f>4.9263 * CHOOSE(CONTROL!$C$22, $C$13, 100%, $E$13)</f>
        <v>4.9263000000000003</v>
      </c>
      <c r="E337" s="61">
        <f>5.363 * CHOOSE(CONTROL!$C$22, $C$13, 100%, $E$13)</f>
        <v>5.3630000000000004</v>
      </c>
      <c r="F337" s="61">
        <f>5.363 * CHOOSE(CONTROL!$C$22, $C$13, 100%, $E$13)</f>
        <v>5.3630000000000004</v>
      </c>
      <c r="G337" s="61">
        <f>5.3653 * CHOOSE(CONTROL!$C$22, $C$13, 100%, $E$13)</f>
        <v>5.3653000000000004</v>
      </c>
      <c r="H337" s="61">
        <f>10.0433* CHOOSE(CONTROL!$C$22, $C$13, 100%, $E$13)</f>
        <v>10.0433</v>
      </c>
      <c r="I337" s="61">
        <f>10.0457 * CHOOSE(CONTROL!$C$22, $C$13, 100%, $E$13)</f>
        <v>10.0457</v>
      </c>
      <c r="J337" s="61">
        <f>5.363 * CHOOSE(CONTROL!$C$22, $C$13, 100%, $E$13)</f>
        <v>5.3630000000000004</v>
      </c>
      <c r="K337" s="61">
        <f>5.3653 * CHOOSE(CONTROL!$C$22, $C$13, 100%, $E$13)</f>
        <v>5.3653000000000004</v>
      </c>
    </row>
    <row r="338" spans="1:11" ht="15">
      <c r="A338" s="13">
        <v>52140</v>
      </c>
      <c r="B338" s="60">
        <f>4.8872 * CHOOSE(CONTROL!$C$22, $C$13, 100%, $E$13)</f>
        <v>4.8872</v>
      </c>
      <c r="C338" s="60">
        <f>4.8872 * CHOOSE(CONTROL!$C$22, $C$13, 100%, $E$13)</f>
        <v>4.8872</v>
      </c>
      <c r="D338" s="60">
        <f>4.906 * CHOOSE(CONTROL!$C$22, $C$13, 100%, $E$13)</f>
        <v>4.9059999999999997</v>
      </c>
      <c r="E338" s="61">
        <f>5.3823 * CHOOSE(CONTROL!$C$22, $C$13, 100%, $E$13)</f>
        <v>5.3822999999999999</v>
      </c>
      <c r="F338" s="61">
        <f>5.3823 * CHOOSE(CONTROL!$C$22, $C$13, 100%, $E$13)</f>
        <v>5.3822999999999999</v>
      </c>
      <c r="G338" s="61">
        <f>5.3825 * CHOOSE(CONTROL!$C$22, $C$13, 100%, $E$13)</f>
        <v>5.3825000000000003</v>
      </c>
      <c r="H338" s="61">
        <f>10.0643* CHOOSE(CONTROL!$C$22, $C$13, 100%, $E$13)</f>
        <v>10.064299999999999</v>
      </c>
      <c r="I338" s="61">
        <f>10.0644 * CHOOSE(CONTROL!$C$22, $C$13, 100%, $E$13)</f>
        <v>10.064399999999999</v>
      </c>
      <c r="J338" s="61">
        <f>5.3823 * CHOOSE(CONTROL!$C$22, $C$13, 100%, $E$13)</f>
        <v>5.3822999999999999</v>
      </c>
      <c r="K338" s="61">
        <f>5.3825 * CHOOSE(CONTROL!$C$22, $C$13, 100%, $E$13)</f>
        <v>5.3825000000000003</v>
      </c>
    </row>
    <row r="339" spans="1:11" ht="15">
      <c r="A339" s="13">
        <v>52171</v>
      </c>
      <c r="B339" s="60">
        <f>4.8902 * CHOOSE(CONTROL!$C$22, $C$13, 100%, $E$13)</f>
        <v>4.8902000000000001</v>
      </c>
      <c r="C339" s="60">
        <f>4.8902 * CHOOSE(CONTROL!$C$22, $C$13, 100%, $E$13)</f>
        <v>4.8902000000000001</v>
      </c>
      <c r="D339" s="60">
        <f>4.909 * CHOOSE(CONTROL!$C$22, $C$13, 100%, $E$13)</f>
        <v>4.9089999999999998</v>
      </c>
      <c r="E339" s="61">
        <f>5.4009 * CHOOSE(CONTROL!$C$22, $C$13, 100%, $E$13)</f>
        <v>5.4009</v>
      </c>
      <c r="F339" s="61">
        <f>5.4009 * CHOOSE(CONTROL!$C$22, $C$13, 100%, $E$13)</f>
        <v>5.4009</v>
      </c>
      <c r="G339" s="61">
        <f>5.401 * CHOOSE(CONTROL!$C$22, $C$13, 100%, $E$13)</f>
        <v>5.4009999999999998</v>
      </c>
      <c r="H339" s="61">
        <f>10.0852* CHOOSE(CONTROL!$C$22, $C$13, 100%, $E$13)</f>
        <v>10.0852</v>
      </c>
      <c r="I339" s="61">
        <f>10.0854 * CHOOSE(CONTROL!$C$22, $C$13, 100%, $E$13)</f>
        <v>10.0854</v>
      </c>
      <c r="J339" s="61">
        <f>5.4009 * CHOOSE(CONTROL!$C$22, $C$13, 100%, $E$13)</f>
        <v>5.4009</v>
      </c>
      <c r="K339" s="61">
        <f>5.401 * CHOOSE(CONTROL!$C$22, $C$13, 100%, $E$13)</f>
        <v>5.4009999999999998</v>
      </c>
    </row>
    <row r="340" spans="1:11" ht="15">
      <c r="A340" s="13">
        <v>52201</v>
      </c>
      <c r="B340" s="60">
        <f>4.8902 * CHOOSE(CONTROL!$C$22, $C$13, 100%, $E$13)</f>
        <v>4.8902000000000001</v>
      </c>
      <c r="C340" s="60">
        <f>4.8902 * CHOOSE(CONTROL!$C$22, $C$13, 100%, $E$13)</f>
        <v>4.8902000000000001</v>
      </c>
      <c r="D340" s="60">
        <f>4.909 * CHOOSE(CONTROL!$C$22, $C$13, 100%, $E$13)</f>
        <v>4.9089999999999998</v>
      </c>
      <c r="E340" s="61">
        <f>5.3599 * CHOOSE(CONTROL!$C$22, $C$13, 100%, $E$13)</f>
        <v>5.3598999999999997</v>
      </c>
      <c r="F340" s="61">
        <f>5.3599 * CHOOSE(CONTROL!$C$22, $C$13, 100%, $E$13)</f>
        <v>5.3598999999999997</v>
      </c>
      <c r="G340" s="61">
        <f>5.3601 * CHOOSE(CONTROL!$C$22, $C$13, 100%, $E$13)</f>
        <v>5.3601000000000001</v>
      </c>
      <c r="H340" s="61">
        <f>10.1062* CHOOSE(CONTROL!$C$22, $C$13, 100%, $E$13)</f>
        <v>10.106199999999999</v>
      </c>
      <c r="I340" s="61">
        <f>10.1064 * CHOOSE(CONTROL!$C$22, $C$13, 100%, $E$13)</f>
        <v>10.106400000000001</v>
      </c>
      <c r="J340" s="61">
        <f>5.3599 * CHOOSE(CONTROL!$C$22, $C$13, 100%, $E$13)</f>
        <v>5.3598999999999997</v>
      </c>
      <c r="K340" s="61">
        <f>5.3601 * CHOOSE(CONTROL!$C$22, $C$13, 100%, $E$13)</f>
        <v>5.3601000000000001</v>
      </c>
    </row>
    <row r="341" spans="1:11" ht="15">
      <c r="A341" s="13">
        <v>52232</v>
      </c>
      <c r="B341" s="60">
        <f>4.9327 * CHOOSE(CONTROL!$C$22, $C$13, 100%, $E$13)</f>
        <v>4.9326999999999996</v>
      </c>
      <c r="C341" s="60">
        <f>4.9327 * CHOOSE(CONTROL!$C$22, $C$13, 100%, $E$13)</f>
        <v>4.9326999999999996</v>
      </c>
      <c r="D341" s="60">
        <f>4.9515 * CHOOSE(CONTROL!$C$22, $C$13, 100%, $E$13)</f>
        <v>4.9515000000000002</v>
      </c>
      <c r="E341" s="61">
        <f>5.4417 * CHOOSE(CONTROL!$C$22, $C$13, 100%, $E$13)</f>
        <v>5.4417</v>
      </c>
      <c r="F341" s="61">
        <f>5.4417 * CHOOSE(CONTROL!$C$22, $C$13, 100%, $E$13)</f>
        <v>5.4417</v>
      </c>
      <c r="G341" s="61">
        <f>5.4419 * CHOOSE(CONTROL!$C$22, $C$13, 100%, $E$13)</f>
        <v>5.4419000000000004</v>
      </c>
      <c r="H341" s="61">
        <f>10.1273* CHOOSE(CONTROL!$C$22, $C$13, 100%, $E$13)</f>
        <v>10.1273</v>
      </c>
      <c r="I341" s="61">
        <f>10.1275 * CHOOSE(CONTROL!$C$22, $C$13, 100%, $E$13)</f>
        <v>10.1275</v>
      </c>
      <c r="J341" s="61">
        <f>5.4417 * CHOOSE(CONTROL!$C$22, $C$13, 100%, $E$13)</f>
        <v>5.4417</v>
      </c>
      <c r="K341" s="61">
        <f>5.4419 * CHOOSE(CONTROL!$C$22, $C$13, 100%, $E$13)</f>
        <v>5.4419000000000004</v>
      </c>
    </row>
    <row r="342" spans="1:11" ht="15">
      <c r="A342" s="13">
        <v>52263</v>
      </c>
      <c r="B342" s="60">
        <f>4.9296 * CHOOSE(CONTROL!$C$22, $C$13, 100%, $E$13)</f>
        <v>4.9295999999999998</v>
      </c>
      <c r="C342" s="60">
        <f>4.9296 * CHOOSE(CONTROL!$C$22, $C$13, 100%, $E$13)</f>
        <v>4.9295999999999998</v>
      </c>
      <c r="D342" s="60">
        <f>4.9484 * CHOOSE(CONTROL!$C$22, $C$13, 100%, $E$13)</f>
        <v>4.9484000000000004</v>
      </c>
      <c r="E342" s="61">
        <f>5.3597 * CHOOSE(CONTROL!$C$22, $C$13, 100%, $E$13)</f>
        <v>5.3597000000000001</v>
      </c>
      <c r="F342" s="61">
        <f>5.3597 * CHOOSE(CONTROL!$C$22, $C$13, 100%, $E$13)</f>
        <v>5.3597000000000001</v>
      </c>
      <c r="G342" s="61">
        <f>5.3599 * CHOOSE(CONTROL!$C$22, $C$13, 100%, $E$13)</f>
        <v>5.3598999999999997</v>
      </c>
      <c r="H342" s="61">
        <f>10.1484* CHOOSE(CONTROL!$C$22, $C$13, 100%, $E$13)</f>
        <v>10.148400000000001</v>
      </c>
      <c r="I342" s="61">
        <f>10.1486 * CHOOSE(CONTROL!$C$22, $C$13, 100%, $E$13)</f>
        <v>10.1486</v>
      </c>
      <c r="J342" s="61">
        <f>5.3597 * CHOOSE(CONTROL!$C$22, $C$13, 100%, $E$13)</f>
        <v>5.3597000000000001</v>
      </c>
      <c r="K342" s="61">
        <f>5.3599 * CHOOSE(CONTROL!$C$22, $C$13, 100%, $E$13)</f>
        <v>5.3598999999999997</v>
      </c>
    </row>
    <row r="343" spans="1:11" ht="15">
      <c r="A343" s="13">
        <v>52291</v>
      </c>
      <c r="B343" s="60">
        <f>4.9266 * CHOOSE(CONTROL!$C$22, $C$13, 100%, $E$13)</f>
        <v>4.9265999999999996</v>
      </c>
      <c r="C343" s="60">
        <f>4.9266 * CHOOSE(CONTROL!$C$22, $C$13, 100%, $E$13)</f>
        <v>4.9265999999999996</v>
      </c>
      <c r="D343" s="60">
        <f>4.9454 * CHOOSE(CONTROL!$C$22, $C$13, 100%, $E$13)</f>
        <v>4.9454000000000002</v>
      </c>
      <c r="E343" s="61">
        <f>5.4206 * CHOOSE(CONTROL!$C$22, $C$13, 100%, $E$13)</f>
        <v>5.4206000000000003</v>
      </c>
      <c r="F343" s="61">
        <f>5.4206 * CHOOSE(CONTROL!$C$22, $C$13, 100%, $E$13)</f>
        <v>5.4206000000000003</v>
      </c>
      <c r="G343" s="61">
        <f>5.4208 * CHOOSE(CONTROL!$C$22, $C$13, 100%, $E$13)</f>
        <v>5.4207999999999998</v>
      </c>
      <c r="H343" s="61">
        <f>10.1695* CHOOSE(CONTROL!$C$22, $C$13, 100%, $E$13)</f>
        <v>10.169499999999999</v>
      </c>
      <c r="I343" s="61">
        <f>10.1697 * CHOOSE(CONTROL!$C$22, $C$13, 100%, $E$13)</f>
        <v>10.169700000000001</v>
      </c>
      <c r="J343" s="61">
        <f>5.4206 * CHOOSE(CONTROL!$C$22, $C$13, 100%, $E$13)</f>
        <v>5.4206000000000003</v>
      </c>
      <c r="K343" s="61">
        <f>5.4208 * CHOOSE(CONTROL!$C$22, $C$13, 100%, $E$13)</f>
        <v>5.4207999999999998</v>
      </c>
    </row>
    <row r="344" spans="1:11" ht="15">
      <c r="A344" s="13">
        <v>52322</v>
      </c>
      <c r="B344" s="60">
        <f>4.9252 * CHOOSE(CONTROL!$C$22, $C$13, 100%, $E$13)</f>
        <v>4.9252000000000002</v>
      </c>
      <c r="C344" s="60">
        <f>4.9252 * CHOOSE(CONTROL!$C$22, $C$13, 100%, $E$13)</f>
        <v>4.9252000000000002</v>
      </c>
      <c r="D344" s="60">
        <f>4.944 * CHOOSE(CONTROL!$C$22, $C$13, 100%, $E$13)</f>
        <v>4.944</v>
      </c>
      <c r="E344" s="61">
        <f>5.484 * CHOOSE(CONTROL!$C$22, $C$13, 100%, $E$13)</f>
        <v>5.484</v>
      </c>
      <c r="F344" s="61">
        <f>5.484 * CHOOSE(CONTROL!$C$22, $C$13, 100%, $E$13)</f>
        <v>5.484</v>
      </c>
      <c r="G344" s="61">
        <f>5.4842 * CHOOSE(CONTROL!$C$22, $C$13, 100%, $E$13)</f>
        <v>5.4842000000000004</v>
      </c>
      <c r="H344" s="61">
        <f>10.1907* CHOOSE(CONTROL!$C$22, $C$13, 100%, $E$13)</f>
        <v>10.1907</v>
      </c>
      <c r="I344" s="61">
        <f>10.1909 * CHOOSE(CONTROL!$C$22, $C$13, 100%, $E$13)</f>
        <v>10.190899999999999</v>
      </c>
      <c r="J344" s="61">
        <f>5.484 * CHOOSE(CONTROL!$C$22, $C$13, 100%, $E$13)</f>
        <v>5.484</v>
      </c>
      <c r="K344" s="61">
        <f>5.4842 * CHOOSE(CONTROL!$C$22, $C$13, 100%, $E$13)</f>
        <v>5.4842000000000004</v>
      </c>
    </row>
    <row r="345" spans="1:11" ht="15">
      <c r="A345" s="13">
        <v>52352</v>
      </c>
      <c r="B345" s="60">
        <f>4.9252 * CHOOSE(CONTROL!$C$22, $C$13, 100%, $E$13)</f>
        <v>4.9252000000000002</v>
      </c>
      <c r="C345" s="60">
        <f>4.9252 * CHOOSE(CONTROL!$C$22, $C$13, 100%, $E$13)</f>
        <v>4.9252000000000002</v>
      </c>
      <c r="D345" s="60">
        <f>4.9628 * CHOOSE(CONTROL!$C$22, $C$13, 100%, $E$13)</f>
        <v>4.9627999999999997</v>
      </c>
      <c r="E345" s="61">
        <f>5.5094 * CHOOSE(CONTROL!$C$22, $C$13, 100%, $E$13)</f>
        <v>5.5094000000000003</v>
      </c>
      <c r="F345" s="61">
        <f>5.5094 * CHOOSE(CONTROL!$C$22, $C$13, 100%, $E$13)</f>
        <v>5.5094000000000003</v>
      </c>
      <c r="G345" s="61">
        <f>5.5117 * CHOOSE(CONTROL!$C$22, $C$13, 100%, $E$13)</f>
        <v>5.5117000000000003</v>
      </c>
      <c r="H345" s="61">
        <f>10.212* CHOOSE(CONTROL!$C$22, $C$13, 100%, $E$13)</f>
        <v>10.212</v>
      </c>
      <c r="I345" s="61">
        <f>10.2143 * CHOOSE(CONTROL!$C$22, $C$13, 100%, $E$13)</f>
        <v>10.2143</v>
      </c>
      <c r="J345" s="61">
        <f>5.5094 * CHOOSE(CONTROL!$C$22, $C$13, 100%, $E$13)</f>
        <v>5.5094000000000003</v>
      </c>
      <c r="K345" s="61">
        <f>5.5117 * CHOOSE(CONTROL!$C$22, $C$13, 100%, $E$13)</f>
        <v>5.5117000000000003</v>
      </c>
    </row>
    <row r="346" spans="1:11" ht="15">
      <c r="A346" s="13">
        <v>52383</v>
      </c>
      <c r="B346" s="60">
        <f>4.9313 * CHOOSE(CONTROL!$C$22, $C$13, 100%, $E$13)</f>
        <v>4.9313000000000002</v>
      </c>
      <c r="C346" s="60">
        <f>4.9313 * CHOOSE(CONTROL!$C$22, $C$13, 100%, $E$13)</f>
        <v>4.9313000000000002</v>
      </c>
      <c r="D346" s="60">
        <f>4.9689 * CHOOSE(CONTROL!$C$22, $C$13, 100%, $E$13)</f>
        <v>4.9688999999999997</v>
      </c>
      <c r="E346" s="61">
        <f>5.4882 * CHOOSE(CONTROL!$C$22, $C$13, 100%, $E$13)</f>
        <v>5.4882</v>
      </c>
      <c r="F346" s="61">
        <f>5.4882 * CHOOSE(CONTROL!$C$22, $C$13, 100%, $E$13)</f>
        <v>5.4882</v>
      </c>
      <c r="G346" s="61">
        <f>5.4905 * CHOOSE(CONTROL!$C$22, $C$13, 100%, $E$13)</f>
        <v>5.4904999999999999</v>
      </c>
      <c r="H346" s="61">
        <f>10.2332* CHOOSE(CONTROL!$C$22, $C$13, 100%, $E$13)</f>
        <v>10.2332</v>
      </c>
      <c r="I346" s="61">
        <f>10.2355 * CHOOSE(CONTROL!$C$22, $C$13, 100%, $E$13)</f>
        <v>10.2355</v>
      </c>
      <c r="J346" s="61">
        <f>5.4882 * CHOOSE(CONTROL!$C$22, $C$13, 100%, $E$13)</f>
        <v>5.4882</v>
      </c>
      <c r="K346" s="61">
        <f>5.4905 * CHOOSE(CONTROL!$C$22, $C$13, 100%, $E$13)</f>
        <v>5.4904999999999999</v>
      </c>
    </row>
    <row r="347" spans="1:11" ht="15">
      <c r="A347" s="13">
        <v>52413</v>
      </c>
      <c r="B347" s="60">
        <f>5.0083 * CHOOSE(CONTROL!$C$22, $C$13, 100%, $E$13)</f>
        <v>5.0083000000000002</v>
      </c>
      <c r="C347" s="60">
        <f>5.0083 * CHOOSE(CONTROL!$C$22, $C$13, 100%, $E$13)</f>
        <v>5.0083000000000002</v>
      </c>
      <c r="D347" s="60">
        <f>5.046 * CHOOSE(CONTROL!$C$22, $C$13, 100%, $E$13)</f>
        <v>5.0460000000000003</v>
      </c>
      <c r="E347" s="61">
        <f>5.5951 * CHOOSE(CONTROL!$C$22, $C$13, 100%, $E$13)</f>
        <v>5.5951000000000004</v>
      </c>
      <c r="F347" s="61">
        <f>5.5951 * CHOOSE(CONTROL!$C$22, $C$13, 100%, $E$13)</f>
        <v>5.5951000000000004</v>
      </c>
      <c r="G347" s="61">
        <f>5.5974 * CHOOSE(CONTROL!$C$22, $C$13, 100%, $E$13)</f>
        <v>5.5974000000000004</v>
      </c>
      <c r="H347" s="61">
        <f>10.2545* CHOOSE(CONTROL!$C$22, $C$13, 100%, $E$13)</f>
        <v>10.2545</v>
      </c>
      <c r="I347" s="61">
        <f>10.2569 * CHOOSE(CONTROL!$C$22, $C$13, 100%, $E$13)</f>
        <v>10.2569</v>
      </c>
      <c r="J347" s="61">
        <f>5.5951 * CHOOSE(CONTROL!$C$22, $C$13, 100%, $E$13)</f>
        <v>5.5951000000000004</v>
      </c>
      <c r="K347" s="61">
        <f>5.5974 * CHOOSE(CONTROL!$C$22, $C$13, 100%, $E$13)</f>
        <v>5.5974000000000004</v>
      </c>
    </row>
    <row r="348" spans="1:11" ht="15">
      <c r="A348" s="13">
        <v>52444</v>
      </c>
      <c r="B348" s="60">
        <f>5.015 * CHOOSE(CONTROL!$C$22, $C$13, 100%, $E$13)</f>
        <v>5.0149999999999997</v>
      </c>
      <c r="C348" s="60">
        <f>5.015 * CHOOSE(CONTROL!$C$22, $C$13, 100%, $E$13)</f>
        <v>5.0149999999999997</v>
      </c>
      <c r="D348" s="60">
        <f>5.0526 * CHOOSE(CONTROL!$C$22, $C$13, 100%, $E$13)</f>
        <v>5.0526</v>
      </c>
      <c r="E348" s="61">
        <f>5.5237 * CHOOSE(CONTROL!$C$22, $C$13, 100%, $E$13)</f>
        <v>5.5236999999999998</v>
      </c>
      <c r="F348" s="61">
        <f>5.5237 * CHOOSE(CONTROL!$C$22, $C$13, 100%, $E$13)</f>
        <v>5.5236999999999998</v>
      </c>
      <c r="G348" s="61">
        <f>5.526 * CHOOSE(CONTROL!$C$22, $C$13, 100%, $E$13)</f>
        <v>5.5259999999999998</v>
      </c>
      <c r="H348" s="61">
        <f>10.2759* CHOOSE(CONTROL!$C$22, $C$13, 100%, $E$13)</f>
        <v>10.2759</v>
      </c>
      <c r="I348" s="61">
        <f>10.2782 * CHOOSE(CONTROL!$C$22, $C$13, 100%, $E$13)</f>
        <v>10.2782</v>
      </c>
      <c r="J348" s="61">
        <f>5.5237 * CHOOSE(CONTROL!$C$22, $C$13, 100%, $E$13)</f>
        <v>5.5236999999999998</v>
      </c>
      <c r="K348" s="61">
        <f>5.526 * CHOOSE(CONTROL!$C$22, $C$13, 100%, $E$13)</f>
        <v>5.5259999999999998</v>
      </c>
    </row>
    <row r="349" spans="1:11" ht="15">
      <c r="A349" s="13">
        <v>52475</v>
      </c>
      <c r="B349" s="60">
        <f>5.012 * CHOOSE(CONTROL!$C$22, $C$13, 100%, $E$13)</f>
        <v>5.0119999999999996</v>
      </c>
      <c r="C349" s="60">
        <f>5.012 * CHOOSE(CONTROL!$C$22, $C$13, 100%, $E$13)</f>
        <v>5.0119999999999996</v>
      </c>
      <c r="D349" s="60">
        <f>5.0496 * CHOOSE(CONTROL!$C$22, $C$13, 100%, $E$13)</f>
        <v>5.0495999999999999</v>
      </c>
      <c r="E349" s="61">
        <f>5.5131 * CHOOSE(CONTROL!$C$22, $C$13, 100%, $E$13)</f>
        <v>5.5130999999999997</v>
      </c>
      <c r="F349" s="61">
        <f>5.5131 * CHOOSE(CONTROL!$C$22, $C$13, 100%, $E$13)</f>
        <v>5.5130999999999997</v>
      </c>
      <c r="G349" s="61">
        <f>5.5154 * CHOOSE(CONTROL!$C$22, $C$13, 100%, $E$13)</f>
        <v>5.5153999999999996</v>
      </c>
      <c r="H349" s="61">
        <f>10.2973* CHOOSE(CONTROL!$C$22, $C$13, 100%, $E$13)</f>
        <v>10.2973</v>
      </c>
      <c r="I349" s="61">
        <f>10.2996 * CHOOSE(CONTROL!$C$22, $C$13, 100%, $E$13)</f>
        <v>10.2996</v>
      </c>
      <c r="J349" s="61">
        <f>5.5131 * CHOOSE(CONTROL!$C$22, $C$13, 100%, $E$13)</f>
        <v>5.5130999999999997</v>
      </c>
      <c r="K349" s="61">
        <f>5.5154 * CHOOSE(CONTROL!$C$22, $C$13, 100%, $E$13)</f>
        <v>5.5153999999999996</v>
      </c>
    </row>
    <row r="350" spans="1:11" ht="15">
      <c r="A350" s="13">
        <v>52505</v>
      </c>
      <c r="B350" s="60">
        <f>5.011 * CHOOSE(CONTROL!$C$22, $C$13, 100%, $E$13)</f>
        <v>5.0110000000000001</v>
      </c>
      <c r="C350" s="60">
        <f>5.011 * CHOOSE(CONTROL!$C$22, $C$13, 100%, $E$13)</f>
        <v>5.0110000000000001</v>
      </c>
      <c r="D350" s="60">
        <f>5.0298 * CHOOSE(CONTROL!$C$22, $C$13, 100%, $E$13)</f>
        <v>5.0297999999999998</v>
      </c>
      <c r="E350" s="61">
        <f>5.5335 * CHOOSE(CONTROL!$C$22, $C$13, 100%, $E$13)</f>
        <v>5.5335000000000001</v>
      </c>
      <c r="F350" s="61">
        <f>5.5335 * CHOOSE(CONTROL!$C$22, $C$13, 100%, $E$13)</f>
        <v>5.5335000000000001</v>
      </c>
      <c r="G350" s="61">
        <f>5.5337 * CHOOSE(CONTROL!$C$22, $C$13, 100%, $E$13)</f>
        <v>5.5336999999999996</v>
      </c>
      <c r="H350" s="61">
        <f>10.3188* CHOOSE(CONTROL!$C$22, $C$13, 100%, $E$13)</f>
        <v>10.3188</v>
      </c>
      <c r="I350" s="61">
        <f>10.319 * CHOOSE(CONTROL!$C$22, $C$13, 100%, $E$13)</f>
        <v>10.319000000000001</v>
      </c>
      <c r="J350" s="61">
        <f>5.5335 * CHOOSE(CONTROL!$C$22, $C$13, 100%, $E$13)</f>
        <v>5.5335000000000001</v>
      </c>
      <c r="K350" s="61">
        <f>5.5337 * CHOOSE(CONTROL!$C$22, $C$13, 100%, $E$13)</f>
        <v>5.5336999999999996</v>
      </c>
    </row>
    <row r="351" spans="1:11" ht="15">
      <c r="A351" s="13">
        <v>52536</v>
      </c>
      <c r="B351" s="60">
        <f>5.014 * CHOOSE(CONTROL!$C$22, $C$13, 100%, $E$13)</f>
        <v>5.0140000000000002</v>
      </c>
      <c r="C351" s="60">
        <f>5.014 * CHOOSE(CONTROL!$C$22, $C$13, 100%, $E$13)</f>
        <v>5.0140000000000002</v>
      </c>
      <c r="D351" s="60">
        <f>5.0328 * CHOOSE(CONTROL!$C$22, $C$13, 100%, $E$13)</f>
        <v>5.0327999999999999</v>
      </c>
      <c r="E351" s="61">
        <f>5.5525 * CHOOSE(CONTROL!$C$22, $C$13, 100%, $E$13)</f>
        <v>5.5525000000000002</v>
      </c>
      <c r="F351" s="61">
        <f>5.5525 * CHOOSE(CONTROL!$C$22, $C$13, 100%, $E$13)</f>
        <v>5.5525000000000002</v>
      </c>
      <c r="G351" s="61">
        <f>5.5527 * CHOOSE(CONTROL!$C$22, $C$13, 100%, $E$13)</f>
        <v>5.5526999999999997</v>
      </c>
      <c r="H351" s="61">
        <f>10.3403* CHOOSE(CONTROL!$C$22, $C$13, 100%, $E$13)</f>
        <v>10.340299999999999</v>
      </c>
      <c r="I351" s="61">
        <f>10.3404 * CHOOSE(CONTROL!$C$22, $C$13, 100%, $E$13)</f>
        <v>10.340400000000001</v>
      </c>
      <c r="J351" s="61">
        <f>5.5525 * CHOOSE(CONTROL!$C$22, $C$13, 100%, $E$13)</f>
        <v>5.5525000000000002</v>
      </c>
      <c r="K351" s="61">
        <f>5.5527 * CHOOSE(CONTROL!$C$22, $C$13, 100%, $E$13)</f>
        <v>5.5526999999999997</v>
      </c>
    </row>
    <row r="352" spans="1:11" ht="15">
      <c r="A352" s="13">
        <v>52566</v>
      </c>
      <c r="B352" s="60">
        <f>5.014 * CHOOSE(CONTROL!$C$22, $C$13, 100%, $E$13)</f>
        <v>5.0140000000000002</v>
      </c>
      <c r="C352" s="60">
        <f>5.014 * CHOOSE(CONTROL!$C$22, $C$13, 100%, $E$13)</f>
        <v>5.0140000000000002</v>
      </c>
      <c r="D352" s="60">
        <f>5.0328 * CHOOSE(CONTROL!$C$22, $C$13, 100%, $E$13)</f>
        <v>5.0327999999999999</v>
      </c>
      <c r="E352" s="61">
        <f>5.5103 * CHOOSE(CONTROL!$C$22, $C$13, 100%, $E$13)</f>
        <v>5.5103</v>
      </c>
      <c r="F352" s="61">
        <f>5.5103 * CHOOSE(CONTROL!$C$22, $C$13, 100%, $E$13)</f>
        <v>5.5103</v>
      </c>
      <c r="G352" s="61">
        <f>5.5105 * CHOOSE(CONTROL!$C$22, $C$13, 100%, $E$13)</f>
        <v>5.5105000000000004</v>
      </c>
      <c r="H352" s="61">
        <f>10.3618* CHOOSE(CONTROL!$C$22, $C$13, 100%, $E$13)</f>
        <v>10.361800000000001</v>
      </c>
      <c r="I352" s="61">
        <f>10.362 * CHOOSE(CONTROL!$C$22, $C$13, 100%, $E$13)</f>
        <v>10.362</v>
      </c>
      <c r="J352" s="61">
        <f>5.5103 * CHOOSE(CONTROL!$C$22, $C$13, 100%, $E$13)</f>
        <v>5.5103</v>
      </c>
      <c r="K352" s="61">
        <f>5.5105 * CHOOSE(CONTROL!$C$22, $C$13, 100%, $E$13)</f>
        <v>5.5105000000000004</v>
      </c>
    </row>
    <row r="353" spans="1:11" ht="15">
      <c r="A353" s="13">
        <v>52597</v>
      </c>
      <c r="B353" s="60">
        <f>5.0576 * CHOOSE(CONTROL!$C$22, $C$13, 100%, $E$13)</f>
        <v>5.0575999999999999</v>
      </c>
      <c r="C353" s="60">
        <f>5.0576 * CHOOSE(CONTROL!$C$22, $C$13, 100%, $E$13)</f>
        <v>5.0575999999999999</v>
      </c>
      <c r="D353" s="60">
        <f>5.0764 * CHOOSE(CONTROL!$C$22, $C$13, 100%, $E$13)</f>
        <v>5.0763999999999996</v>
      </c>
      <c r="E353" s="61">
        <f>5.5945 * CHOOSE(CONTROL!$C$22, $C$13, 100%, $E$13)</f>
        <v>5.5945</v>
      </c>
      <c r="F353" s="61">
        <f>5.5945 * CHOOSE(CONTROL!$C$22, $C$13, 100%, $E$13)</f>
        <v>5.5945</v>
      </c>
      <c r="G353" s="61">
        <f>5.5946 * CHOOSE(CONTROL!$C$22, $C$13, 100%, $E$13)</f>
        <v>5.5945999999999998</v>
      </c>
      <c r="H353" s="61">
        <f>10.3834* CHOOSE(CONTROL!$C$22, $C$13, 100%, $E$13)</f>
        <v>10.3834</v>
      </c>
      <c r="I353" s="61">
        <f>10.3836 * CHOOSE(CONTROL!$C$22, $C$13, 100%, $E$13)</f>
        <v>10.383599999999999</v>
      </c>
      <c r="J353" s="61">
        <f>5.5945 * CHOOSE(CONTROL!$C$22, $C$13, 100%, $E$13)</f>
        <v>5.5945</v>
      </c>
      <c r="K353" s="61">
        <f>5.5946 * CHOOSE(CONTROL!$C$22, $C$13, 100%, $E$13)</f>
        <v>5.5945999999999998</v>
      </c>
    </row>
    <row r="354" spans="1:11" ht="15">
      <c r="A354" s="13">
        <v>52628</v>
      </c>
      <c r="B354" s="60">
        <f>5.0546 * CHOOSE(CONTROL!$C$22, $C$13, 100%, $E$13)</f>
        <v>5.0545999999999998</v>
      </c>
      <c r="C354" s="60">
        <f>5.0546 * CHOOSE(CONTROL!$C$22, $C$13, 100%, $E$13)</f>
        <v>5.0545999999999998</v>
      </c>
      <c r="D354" s="60">
        <f>5.0734 * CHOOSE(CONTROL!$C$22, $C$13, 100%, $E$13)</f>
        <v>5.0734000000000004</v>
      </c>
      <c r="E354" s="61">
        <f>5.5099 * CHOOSE(CONTROL!$C$22, $C$13, 100%, $E$13)</f>
        <v>5.5099</v>
      </c>
      <c r="F354" s="61">
        <f>5.5099 * CHOOSE(CONTROL!$C$22, $C$13, 100%, $E$13)</f>
        <v>5.5099</v>
      </c>
      <c r="G354" s="61">
        <f>5.5101 * CHOOSE(CONTROL!$C$22, $C$13, 100%, $E$13)</f>
        <v>5.5101000000000004</v>
      </c>
      <c r="H354" s="61">
        <f>10.405* CHOOSE(CONTROL!$C$22, $C$13, 100%, $E$13)</f>
        <v>10.404999999999999</v>
      </c>
      <c r="I354" s="61">
        <f>10.4052 * CHOOSE(CONTROL!$C$22, $C$13, 100%, $E$13)</f>
        <v>10.405200000000001</v>
      </c>
      <c r="J354" s="61">
        <f>5.5099 * CHOOSE(CONTROL!$C$22, $C$13, 100%, $E$13)</f>
        <v>5.5099</v>
      </c>
      <c r="K354" s="61">
        <f>5.5101 * CHOOSE(CONTROL!$C$22, $C$13, 100%, $E$13)</f>
        <v>5.5101000000000004</v>
      </c>
    </row>
    <row r="355" spans="1:11" ht="15">
      <c r="A355" s="13">
        <v>52657</v>
      </c>
      <c r="B355" s="60">
        <f>5.0515 * CHOOSE(CONTROL!$C$22, $C$13, 100%, $E$13)</f>
        <v>5.0514999999999999</v>
      </c>
      <c r="C355" s="60">
        <f>5.0515 * CHOOSE(CONTROL!$C$22, $C$13, 100%, $E$13)</f>
        <v>5.0514999999999999</v>
      </c>
      <c r="D355" s="60">
        <f>5.0703 * CHOOSE(CONTROL!$C$22, $C$13, 100%, $E$13)</f>
        <v>5.0702999999999996</v>
      </c>
      <c r="E355" s="61">
        <f>5.5728 * CHOOSE(CONTROL!$C$22, $C$13, 100%, $E$13)</f>
        <v>5.5728</v>
      </c>
      <c r="F355" s="61">
        <f>5.5728 * CHOOSE(CONTROL!$C$22, $C$13, 100%, $E$13)</f>
        <v>5.5728</v>
      </c>
      <c r="G355" s="61">
        <f>5.573 * CHOOSE(CONTROL!$C$22, $C$13, 100%, $E$13)</f>
        <v>5.5730000000000004</v>
      </c>
      <c r="H355" s="61">
        <f>10.4267* CHOOSE(CONTROL!$C$22, $C$13, 100%, $E$13)</f>
        <v>10.4267</v>
      </c>
      <c r="I355" s="61">
        <f>10.4269 * CHOOSE(CONTROL!$C$22, $C$13, 100%, $E$13)</f>
        <v>10.4269</v>
      </c>
      <c r="J355" s="61">
        <f>5.5728 * CHOOSE(CONTROL!$C$22, $C$13, 100%, $E$13)</f>
        <v>5.5728</v>
      </c>
      <c r="K355" s="61">
        <f>5.573 * CHOOSE(CONTROL!$C$22, $C$13, 100%, $E$13)</f>
        <v>5.5730000000000004</v>
      </c>
    </row>
    <row r="356" spans="1:11" ht="15">
      <c r="A356" s="13">
        <v>52688</v>
      </c>
      <c r="B356" s="60">
        <f>5.0502 * CHOOSE(CONTROL!$C$22, $C$13, 100%, $E$13)</f>
        <v>5.0502000000000002</v>
      </c>
      <c r="C356" s="60">
        <f>5.0502 * CHOOSE(CONTROL!$C$22, $C$13, 100%, $E$13)</f>
        <v>5.0502000000000002</v>
      </c>
      <c r="D356" s="60">
        <f>5.0691 * CHOOSE(CONTROL!$C$22, $C$13, 100%, $E$13)</f>
        <v>5.0690999999999997</v>
      </c>
      <c r="E356" s="61">
        <f>5.6383 * CHOOSE(CONTROL!$C$22, $C$13, 100%, $E$13)</f>
        <v>5.6383000000000001</v>
      </c>
      <c r="F356" s="61">
        <f>5.6383 * CHOOSE(CONTROL!$C$22, $C$13, 100%, $E$13)</f>
        <v>5.6383000000000001</v>
      </c>
      <c r="G356" s="61">
        <f>5.6385 * CHOOSE(CONTROL!$C$22, $C$13, 100%, $E$13)</f>
        <v>5.6384999999999996</v>
      </c>
      <c r="H356" s="61">
        <f>10.4484* CHOOSE(CONTROL!$C$22, $C$13, 100%, $E$13)</f>
        <v>10.448399999999999</v>
      </c>
      <c r="I356" s="61">
        <f>10.4486 * CHOOSE(CONTROL!$C$22, $C$13, 100%, $E$13)</f>
        <v>10.448600000000001</v>
      </c>
      <c r="J356" s="61">
        <f>5.6383 * CHOOSE(CONTROL!$C$22, $C$13, 100%, $E$13)</f>
        <v>5.6383000000000001</v>
      </c>
      <c r="K356" s="61">
        <f>5.6385 * CHOOSE(CONTROL!$C$22, $C$13, 100%, $E$13)</f>
        <v>5.6384999999999996</v>
      </c>
    </row>
    <row r="357" spans="1:11" ht="15">
      <c r="A357" s="13">
        <v>52718</v>
      </c>
      <c r="B357" s="60">
        <f>5.0502 * CHOOSE(CONTROL!$C$22, $C$13, 100%, $E$13)</f>
        <v>5.0502000000000002</v>
      </c>
      <c r="C357" s="60">
        <f>5.0502 * CHOOSE(CONTROL!$C$22, $C$13, 100%, $E$13)</f>
        <v>5.0502000000000002</v>
      </c>
      <c r="D357" s="60">
        <f>5.0879 * CHOOSE(CONTROL!$C$22, $C$13, 100%, $E$13)</f>
        <v>5.0879000000000003</v>
      </c>
      <c r="E357" s="61">
        <f>5.6645 * CHOOSE(CONTROL!$C$22, $C$13, 100%, $E$13)</f>
        <v>5.6645000000000003</v>
      </c>
      <c r="F357" s="61">
        <f>5.6645 * CHOOSE(CONTROL!$C$22, $C$13, 100%, $E$13)</f>
        <v>5.6645000000000003</v>
      </c>
      <c r="G357" s="61">
        <f>5.6668 * CHOOSE(CONTROL!$C$22, $C$13, 100%, $E$13)</f>
        <v>5.6668000000000003</v>
      </c>
      <c r="H357" s="61">
        <f>10.4702* CHOOSE(CONTROL!$C$22, $C$13, 100%, $E$13)</f>
        <v>10.4702</v>
      </c>
      <c r="I357" s="61">
        <f>10.4725 * CHOOSE(CONTROL!$C$22, $C$13, 100%, $E$13)</f>
        <v>10.4725</v>
      </c>
      <c r="J357" s="61">
        <f>5.6645 * CHOOSE(CONTROL!$C$22, $C$13, 100%, $E$13)</f>
        <v>5.6645000000000003</v>
      </c>
      <c r="K357" s="61">
        <f>5.6668 * CHOOSE(CONTROL!$C$22, $C$13, 100%, $E$13)</f>
        <v>5.6668000000000003</v>
      </c>
    </row>
    <row r="358" spans="1:11" ht="15">
      <c r="A358" s="13">
        <v>52749</v>
      </c>
      <c r="B358" s="60">
        <f>5.0563 * CHOOSE(CONTROL!$C$22, $C$13, 100%, $E$13)</f>
        <v>5.0563000000000002</v>
      </c>
      <c r="C358" s="60">
        <f>5.0563 * CHOOSE(CONTROL!$C$22, $C$13, 100%, $E$13)</f>
        <v>5.0563000000000002</v>
      </c>
      <c r="D358" s="60">
        <f>5.0939 * CHOOSE(CONTROL!$C$22, $C$13, 100%, $E$13)</f>
        <v>5.0938999999999997</v>
      </c>
      <c r="E358" s="61">
        <f>5.6426 * CHOOSE(CONTROL!$C$22, $C$13, 100%, $E$13)</f>
        <v>5.6425999999999998</v>
      </c>
      <c r="F358" s="61">
        <f>5.6426 * CHOOSE(CONTROL!$C$22, $C$13, 100%, $E$13)</f>
        <v>5.6425999999999998</v>
      </c>
      <c r="G358" s="61">
        <f>5.6449 * CHOOSE(CONTROL!$C$22, $C$13, 100%, $E$13)</f>
        <v>5.6448999999999998</v>
      </c>
      <c r="H358" s="61">
        <f>10.492* CHOOSE(CONTROL!$C$22, $C$13, 100%, $E$13)</f>
        <v>10.492000000000001</v>
      </c>
      <c r="I358" s="61">
        <f>10.4943 * CHOOSE(CONTROL!$C$22, $C$13, 100%, $E$13)</f>
        <v>10.494300000000001</v>
      </c>
      <c r="J358" s="61">
        <f>5.6426 * CHOOSE(CONTROL!$C$22, $C$13, 100%, $E$13)</f>
        <v>5.6425999999999998</v>
      </c>
      <c r="K358" s="61">
        <f>5.6449 * CHOOSE(CONTROL!$C$22, $C$13, 100%, $E$13)</f>
        <v>5.6448999999999998</v>
      </c>
    </row>
    <row r="359" spans="1:11" ht="15">
      <c r="A359" s="13">
        <v>52779</v>
      </c>
      <c r="B359" s="60">
        <f>5.1354 * CHOOSE(CONTROL!$C$22, $C$13, 100%, $E$13)</f>
        <v>5.1353999999999997</v>
      </c>
      <c r="C359" s="60">
        <f>5.1354 * CHOOSE(CONTROL!$C$22, $C$13, 100%, $E$13)</f>
        <v>5.1353999999999997</v>
      </c>
      <c r="D359" s="60">
        <f>5.173 * CHOOSE(CONTROL!$C$22, $C$13, 100%, $E$13)</f>
        <v>5.173</v>
      </c>
      <c r="E359" s="61">
        <f>5.7521 * CHOOSE(CONTROL!$C$22, $C$13, 100%, $E$13)</f>
        <v>5.7521000000000004</v>
      </c>
      <c r="F359" s="61">
        <f>5.7521 * CHOOSE(CONTROL!$C$22, $C$13, 100%, $E$13)</f>
        <v>5.7521000000000004</v>
      </c>
      <c r="G359" s="61">
        <f>5.7544 * CHOOSE(CONTROL!$C$22, $C$13, 100%, $E$13)</f>
        <v>5.7544000000000004</v>
      </c>
      <c r="H359" s="61">
        <f>10.5139* CHOOSE(CONTROL!$C$22, $C$13, 100%, $E$13)</f>
        <v>10.5139</v>
      </c>
      <c r="I359" s="61">
        <f>10.5162 * CHOOSE(CONTROL!$C$22, $C$13, 100%, $E$13)</f>
        <v>10.5162</v>
      </c>
      <c r="J359" s="61">
        <f>5.7521 * CHOOSE(CONTROL!$C$22, $C$13, 100%, $E$13)</f>
        <v>5.7521000000000004</v>
      </c>
      <c r="K359" s="61">
        <f>5.7544 * CHOOSE(CONTROL!$C$22, $C$13, 100%, $E$13)</f>
        <v>5.7544000000000004</v>
      </c>
    </row>
    <row r="360" spans="1:11" ht="15">
      <c r="A360" s="13">
        <v>52810</v>
      </c>
      <c r="B360" s="60">
        <f>5.142 * CHOOSE(CONTROL!$C$22, $C$13, 100%, $E$13)</f>
        <v>5.1420000000000003</v>
      </c>
      <c r="C360" s="60">
        <f>5.142 * CHOOSE(CONTROL!$C$22, $C$13, 100%, $E$13)</f>
        <v>5.1420000000000003</v>
      </c>
      <c r="D360" s="60">
        <f>5.1797 * CHOOSE(CONTROL!$C$22, $C$13, 100%, $E$13)</f>
        <v>5.1797000000000004</v>
      </c>
      <c r="E360" s="61">
        <f>5.6783 * CHOOSE(CONTROL!$C$22, $C$13, 100%, $E$13)</f>
        <v>5.6783000000000001</v>
      </c>
      <c r="F360" s="61">
        <f>5.6783 * CHOOSE(CONTROL!$C$22, $C$13, 100%, $E$13)</f>
        <v>5.6783000000000001</v>
      </c>
      <c r="G360" s="61">
        <f>5.6806 * CHOOSE(CONTROL!$C$22, $C$13, 100%, $E$13)</f>
        <v>5.6806000000000001</v>
      </c>
      <c r="H360" s="61">
        <f>10.5358* CHOOSE(CONTROL!$C$22, $C$13, 100%, $E$13)</f>
        <v>10.5358</v>
      </c>
      <c r="I360" s="61">
        <f>10.5381 * CHOOSE(CONTROL!$C$22, $C$13, 100%, $E$13)</f>
        <v>10.5381</v>
      </c>
      <c r="J360" s="61">
        <f>5.6783 * CHOOSE(CONTROL!$C$22, $C$13, 100%, $E$13)</f>
        <v>5.6783000000000001</v>
      </c>
      <c r="K360" s="61">
        <f>5.6806 * CHOOSE(CONTROL!$C$22, $C$13, 100%, $E$13)</f>
        <v>5.6806000000000001</v>
      </c>
    </row>
    <row r="361" spans="1:11" ht="15">
      <c r="A361" s="13">
        <v>52841</v>
      </c>
      <c r="B361" s="60">
        <f>5.139 * CHOOSE(CONTROL!$C$22, $C$13, 100%, $E$13)</f>
        <v>5.1390000000000002</v>
      </c>
      <c r="C361" s="60">
        <f>5.139 * CHOOSE(CONTROL!$C$22, $C$13, 100%, $E$13)</f>
        <v>5.1390000000000002</v>
      </c>
      <c r="D361" s="60">
        <f>5.1766 * CHOOSE(CONTROL!$C$22, $C$13, 100%, $E$13)</f>
        <v>5.1765999999999996</v>
      </c>
      <c r="E361" s="61">
        <f>5.6674 * CHOOSE(CONTROL!$C$22, $C$13, 100%, $E$13)</f>
        <v>5.6673999999999998</v>
      </c>
      <c r="F361" s="61">
        <f>5.6674 * CHOOSE(CONTROL!$C$22, $C$13, 100%, $E$13)</f>
        <v>5.6673999999999998</v>
      </c>
      <c r="G361" s="61">
        <f>5.6698 * CHOOSE(CONTROL!$C$22, $C$13, 100%, $E$13)</f>
        <v>5.6698000000000004</v>
      </c>
      <c r="H361" s="61">
        <f>10.5577* CHOOSE(CONTROL!$C$22, $C$13, 100%, $E$13)</f>
        <v>10.557700000000001</v>
      </c>
      <c r="I361" s="61">
        <f>10.56 * CHOOSE(CONTROL!$C$22, $C$13, 100%, $E$13)</f>
        <v>10.56</v>
      </c>
      <c r="J361" s="61">
        <f>5.6674 * CHOOSE(CONTROL!$C$22, $C$13, 100%, $E$13)</f>
        <v>5.6673999999999998</v>
      </c>
      <c r="K361" s="61">
        <f>5.6698 * CHOOSE(CONTROL!$C$22, $C$13, 100%, $E$13)</f>
        <v>5.6698000000000004</v>
      </c>
    </row>
    <row r="362" spans="1:11" ht="15">
      <c r="A362" s="13">
        <v>52871</v>
      </c>
      <c r="B362" s="60">
        <f>5.1385 * CHOOSE(CONTROL!$C$22, $C$13, 100%, $E$13)</f>
        <v>5.1384999999999996</v>
      </c>
      <c r="C362" s="60">
        <f>5.1385 * CHOOSE(CONTROL!$C$22, $C$13, 100%, $E$13)</f>
        <v>5.1384999999999996</v>
      </c>
      <c r="D362" s="60">
        <f>5.1573 * CHOOSE(CONTROL!$C$22, $C$13, 100%, $E$13)</f>
        <v>5.1573000000000002</v>
      </c>
      <c r="E362" s="61">
        <f>5.6889 * CHOOSE(CONTROL!$C$22, $C$13, 100%, $E$13)</f>
        <v>5.6889000000000003</v>
      </c>
      <c r="F362" s="61">
        <f>5.6889 * CHOOSE(CONTROL!$C$22, $C$13, 100%, $E$13)</f>
        <v>5.6889000000000003</v>
      </c>
      <c r="G362" s="61">
        <f>5.6891 * CHOOSE(CONTROL!$C$22, $C$13, 100%, $E$13)</f>
        <v>5.6890999999999998</v>
      </c>
      <c r="H362" s="61">
        <f>10.5797* CHOOSE(CONTROL!$C$22, $C$13, 100%, $E$13)</f>
        <v>10.579700000000001</v>
      </c>
      <c r="I362" s="61">
        <f>10.5799 * CHOOSE(CONTROL!$C$22, $C$13, 100%, $E$13)</f>
        <v>10.5799</v>
      </c>
      <c r="J362" s="61">
        <f>5.6889 * CHOOSE(CONTROL!$C$22, $C$13, 100%, $E$13)</f>
        <v>5.6889000000000003</v>
      </c>
      <c r="K362" s="61">
        <f>5.6891 * CHOOSE(CONTROL!$C$22, $C$13, 100%, $E$13)</f>
        <v>5.6890999999999998</v>
      </c>
    </row>
    <row r="363" spans="1:11" ht="15">
      <c r="A363" s="13">
        <v>52902</v>
      </c>
      <c r="B363" s="60">
        <f>5.1415 * CHOOSE(CONTROL!$C$22, $C$13, 100%, $E$13)</f>
        <v>5.1414999999999997</v>
      </c>
      <c r="C363" s="60">
        <f>5.1415 * CHOOSE(CONTROL!$C$22, $C$13, 100%, $E$13)</f>
        <v>5.1414999999999997</v>
      </c>
      <c r="D363" s="60">
        <f>5.1603 * CHOOSE(CONTROL!$C$22, $C$13, 100%, $E$13)</f>
        <v>5.1603000000000003</v>
      </c>
      <c r="E363" s="61">
        <f>5.7085 * CHOOSE(CONTROL!$C$22, $C$13, 100%, $E$13)</f>
        <v>5.7084999999999999</v>
      </c>
      <c r="F363" s="61">
        <f>5.7085 * CHOOSE(CONTROL!$C$22, $C$13, 100%, $E$13)</f>
        <v>5.7084999999999999</v>
      </c>
      <c r="G363" s="61">
        <f>5.7087 * CHOOSE(CONTROL!$C$22, $C$13, 100%, $E$13)</f>
        <v>5.7087000000000003</v>
      </c>
      <c r="H363" s="61">
        <f>10.6018* CHOOSE(CONTROL!$C$22, $C$13, 100%, $E$13)</f>
        <v>10.601800000000001</v>
      </c>
      <c r="I363" s="61">
        <f>10.6019 * CHOOSE(CONTROL!$C$22, $C$13, 100%, $E$13)</f>
        <v>10.601900000000001</v>
      </c>
      <c r="J363" s="61">
        <f>5.7085 * CHOOSE(CONTROL!$C$22, $C$13, 100%, $E$13)</f>
        <v>5.7084999999999999</v>
      </c>
      <c r="K363" s="61">
        <f>5.7087 * CHOOSE(CONTROL!$C$22, $C$13, 100%, $E$13)</f>
        <v>5.7087000000000003</v>
      </c>
    </row>
    <row r="364" spans="1:11" ht="15">
      <c r="A364" s="13">
        <v>52932</v>
      </c>
      <c r="B364" s="60">
        <f>5.1415 * CHOOSE(CONTROL!$C$22, $C$13, 100%, $E$13)</f>
        <v>5.1414999999999997</v>
      </c>
      <c r="C364" s="60">
        <f>5.1415 * CHOOSE(CONTROL!$C$22, $C$13, 100%, $E$13)</f>
        <v>5.1414999999999997</v>
      </c>
      <c r="D364" s="60">
        <f>5.1603 * CHOOSE(CONTROL!$C$22, $C$13, 100%, $E$13)</f>
        <v>5.1603000000000003</v>
      </c>
      <c r="E364" s="61">
        <f>5.6649 * CHOOSE(CONTROL!$C$22, $C$13, 100%, $E$13)</f>
        <v>5.6649000000000003</v>
      </c>
      <c r="F364" s="61">
        <f>5.6649 * CHOOSE(CONTROL!$C$22, $C$13, 100%, $E$13)</f>
        <v>5.6649000000000003</v>
      </c>
      <c r="G364" s="61">
        <f>5.665 * CHOOSE(CONTROL!$C$22, $C$13, 100%, $E$13)</f>
        <v>5.665</v>
      </c>
      <c r="H364" s="61">
        <f>10.6238* CHOOSE(CONTROL!$C$22, $C$13, 100%, $E$13)</f>
        <v>10.623799999999999</v>
      </c>
      <c r="I364" s="61">
        <f>10.624 * CHOOSE(CONTROL!$C$22, $C$13, 100%, $E$13)</f>
        <v>10.624000000000001</v>
      </c>
      <c r="J364" s="61">
        <f>5.6649 * CHOOSE(CONTROL!$C$22, $C$13, 100%, $E$13)</f>
        <v>5.6649000000000003</v>
      </c>
      <c r="K364" s="61">
        <f>5.665 * CHOOSE(CONTROL!$C$22, $C$13, 100%, $E$13)</f>
        <v>5.665</v>
      </c>
    </row>
    <row r="365" spans="1:11" ht="15">
      <c r="A365" s="13">
        <v>52963</v>
      </c>
      <c r="B365" s="60">
        <f>5.186 * CHOOSE(CONTROL!$C$22, $C$13, 100%, $E$13)</f>
        <v>5.1859999999999999</v>
      </c>
      <c r="C365" s="60">
        <f>5.186 * CHOOSE(CONTROL!$C$22, $C$13, 100%, $E$13)</f>
        <v>5.1859999999999999</v>
      </c>
      <c r="D365" s="60">
        <f>5.2048 * CHOOSE(CONTROL!$C$22, $C$13, 100%, $E$13)</f>
        <v>5.2047999999999996</v>
      </c>
      <c r="E365" s="61">
        <f>5.7515 * CHOOSE(CONTROL!$C$22, $C$13, 100%, $E$13)</f>
        <v>5.7515000000000001</v>
      </c>
      <c r="F365" s="61">
        <f>5.7515 * CHOOSE(CONTROL!$C$22, $C$13, 100%, $E$13)</f>
        <v>5.7515000000000001</v>
      </c>
      <c r="G365" s="61">
        <f>5.7516 * CHOOSE(CONTROL!$C$22, $C$13, 100%, $E$13)</f>
        <v>5.7515999999999998</v>
      </c>
      <c r="H365" s="61">
        <f>10.646* CHOOSE(CONTROL!$C$22, $C$13, 100%, $E$13)</f>
        <v>10.646000000000001</v>
      </c>
      <c r="I365" s="61">
        <f>10.6462 * CHOOSE(CONTROL!$C$22, $C$13, 100%, $E$13)</f>
        <v>10.6462</v>
      </c>
      <c r="J365" s="61">
        <f>5.7515 * CHOOSE(CONTROL!$C$22, $C$13, 100%, $E$13)</f>
        <v>5.7515000000000001</v>
      </c>
      <c r="K365" s="61">
        <f>5.7516 * CHOOSE(CONTROL!$C$22, $C$13, 100%, $E$13)</f>
        <v>5.7515999999999998</v>
      </c>
    </row>
    <row r="366" spans="1:11" ht="15">
      <c r="A366" s="13">
        <v>52994</v>
      </c>
      <c r="B366" s="60">
        <f>5.183 * CHOOSE(CONTROL!$C$22, $C$13, 100%, $E$13)</f>
        <v>5.1829999999999998</v>
      </c>
      <c r="C366" s="60">
        <f>5.183 * CHOOSE(CONTROL!$C$22, $C$13, 100%, $E$13)</f>
        <v>5.1829999999999998</v>
      </c>
      <c r="D366" s="60">
        <f>5.2018 * CHOOSE(CONTROL!$C$22, $C$13, 100%, $E$13)</f>
        <v>5.2018000000000004</v>
      </c>
      <c r="E366" s="61">
        <f>5.6643 * CHOOSE(CONTROL!$C$22, $C$13, 100%, $E$13)</f>
        <v>5.6642999999999999</v>
      </c>
      <c r="F366" s="61">
        <f>5.6643 * CHOOSE(CONTROL!$C$22, $C$13, 100%, $E$13)</f>
        <v>5.6642999999999999</v>
      </c>
      <c r="G366" s="61">
        <f>5.6645 * CHOOSE(CONTROL!$C$22, $C$13, 100%, $E$13)</f>
        <v>5.6645000000000003</v>
      </c>
      <c r="H366" s="61">
        <f>10.6682* CHOOSE(CONTROL!$C$22, $C$13, 100%, $E$13)</f>
        <v>10.668200000000001</v>
      </c>
      <c r="I366" s="61">
        <f>10.6683 * CHOOSE(CONTROL!$C$22, $C$13, 100%, $E$13)</f>
        <v>10.6683</v>
      </c>
      <c r="J366" s="61">
        <f>5.6643 * CHOOSE(CONTROL!$C$22, $C$13, 100%, $E$13)</f>
        <v>5.6642999999999999</v>
      </c>
      <c r="K366" s="61">
        <f>5.6645 * CHOOSE(CONTROL!$C$22, $C$13, 100%, $E$13)</f>
        <v>5.6645000000000003</v>
      </c>
    </row>
    <row r="367" spans="1:11" ht="15">
      <c r="A367" s="13">
        <v>53022</v>
      </c>
      <c r="B367" s="60">
        <f>5.1799 * CHOOSE(CONTROL!$C$22, $C$13, 100%, $E$13)</f>
        <v>5.1798999999999999</v>
      </c>
      <c r="C367" s="60">
        <f>5.1799 * CHOOSE(CONTROL!$C$22, $C$13, 100%, $E$13)</f>
        <v>5.1798999999999999</v>
      </c>
      <c r="D367" s="60">
        <f>5.1987 * CHOOSE(CONTROL!$C$22, $C$13, 100%, $E$13)</f>
        <v>5.1986999999999997</v>
      </c>
      <c r="E367" s="61">
        <f>5.7292 * CHOOSE(CONTROL!$C$22, $C$13, 100%, $E$13)</f>
        <v>5.7291999999999996</v>
      </c>
      <c r="F367" s="61">
        <f>5.7292 * CHOOSE(CONTROL!$C$22, $C$13, 100%, $E$13)</f>
        <v>5.7291999999999996</v>
      </c>
      <c r="G367" s="61">
        <f>5.7294 * CHOOSE(CONTROL!$C$22, $C$13, 100%, $E$13)</f>
        <v>5.7294</v>
      </c>
      <c r="H367" s="61">
        <f>10.6904* CHOOSE(CONTROL!$C$22, $C$13, 100%, $E$13)</f>
        <v>10.6904</v>
      </c>
      <c r="I367" s="61">
        <f>10.6906 * CHOOSE(CONTROL!$C$22, $C$13, 100%, $E$13)</f>
        <v>10.6906</v>
      </c>
      <c r="J367" s="61">
        <f>5.7292 * CHOOSE(CONTROL!$C$22, $C$13, 100%, $E$13)</f>
        <v>5.7291999999999996</v>
      </c>
      <c r="K367" s="61">
        <f>5.7294 * CHOOSE(CONTROL!$C$22, $C$13, 100%, $E$13)</f>
        <v>5.7294</v>
      </c>
    </row>
    <row r="368" spans="1:11" ht="15">
      <c r="A368" s="13">
        <v>53053</v>
      </c>
      <c r="B368" s="60">
        <f>5.1788 * CHOOSE(CONTROL!$C$22, $C$13, 100%, $E$13)</f>
        <v>5.1787999999999998</v>
      </c>
      <c r="C368" s="60">
        <f>5.1788 * CHOOSE(CONTROL!$C$22, $C$13, 100%, $E$13)</f>
        <v>5.1787999999999998</v>
      </c>
      <c r="D368" s="60">
        <f>5.1976 * CHOOSE(CONTROL!$C$22, $C$13, 100%, $E$13)</f>
        <v>5.1976000000000004</v>
      </c>
      <c r="E368" s="61">
        <f>5.797 * CHOOSE(CONTROL!$C$22, $C$13, 100%, $E$13)</f>
        <v>5.7969999999999997</v>
      </c>
      <c r="F368" s="61">
        <f>5.797 * CHOOSE(CONTROL!$C$22, $C$13, 100%, $E$13)</f>
        <v>5.7969999999999997</v>
      </c>
      <c r="G368" s="61">
        <f>5.7972 * CHOOSE(CONTROL!$C$22, $C$13, 100%, $E$13)</f>
        <v>5.7972000000000001</v>
      </c>
      <c r="H368" s="61">
        <f>10.7127* CHOOSE(CONTROL!$C$22, $C$13, 100%, $E$13)</f>
        <v>10.7127</v>
      </c>
      <c r="I368" s="61">
        <f>10.7128 * CHOOSE(CONTROL!$C$22, $C$13, 100%, $E$13)</f>
        <v>10.7128</v>
      </c>
      <c r="J368" s="61">
        <f>5.797 * CHOOSE(CONTROL!$C$22, $C$13, 100%, $E$13)</f>
        <v>5.7969999999999997</v>
      </c>
      <c r="K368" s="61">
        <f>5.7972 * CHOOSE(CONTROL!$C$22, $C$13, 100%, $E$13)</f>
        <v>5.7972000000000001</v>
      </c>
    </row>
    <row r="369" spans="1:11" ht="15">
      <c r="A369" s="13">
        <v>53083</v>
      </c>
      <c r="B369" s="60">
        <f>5.1788 * CHOOSE(CONTROL!$C$22, $C$13, 100%, $E$13)</f>
        <v>5.1787999999999998</v>
      </c>
      <c r="C369" s="60">
        <f>5.1788 * CHOOSE(CONTROL!$C$22, $C$13, 100%, $E$13)</f>
        <v>5.1787999999999998</v>
      </c>
      <c r="D369" s="60">
        <f>5.2164 * CHOOSE(CONTROL!$C$22, $C$13, 100%, $E$13)</f>
        <v>5.2164000000000001</v>
      </c>
      <c r="E369" s="61">
        <f>5.824 * CHOOSE(CONTROL!$C$22, $C$13, 100%, $E$13)</f>
        <v>5.8239999999999998</v>
      </c>
      <c r="F369" s="61">
        <f>5.824 * CHOOSE(CONTROL!$C$22, $C$13, 100%, $E$13)</f>
        <v>5.8239999999999998</v>
      </c>
      <c r="G369" s="61">
        <f>5.8263 * CHOOSE(CONTROL!$C$22, $C$13, 100%, $E$13)</f>
        <v>5.8262999999999998</v>
      </c>
      <c r="H369" s="61">
        <f>10.735* CHOOSE(CONTROL!$C$22, $C$13, 100%, $E$13)</f>
        <v>10.734999999999999</v>
      </c>
      <c r="I369" s="61">
        <f>10.7373 * CHOOSE(CONTROL!$C$22, $C$13, 100%, $E$13)</f>
        <v>10.737299999999999</v>
      </c>
      <c r="J369" s="61">
        <f>5.824 * CHOOSE(CONTROL!$C$22, $C$13, 100%, $E$13)</f>
        <v>5.8239999999999998</v>
      </c>
      <c r="K369" s="61">
        <f>5.8263 * CHOOSE(CONTROL!$C$22, $C$13, 100%, $E$13)</f>
        <v>5.8262999999999998</v>
      </c>
    </row>
    <row r="370" spans="1:11" ht="15">
      <c r="A370" s="13">
        <v>53114</v>
      </c>
      <c r="B370" s="60">
        <f>5.1848 * CHOOSE(CONTROL!$C$22, $C$13, 100%, $E$13)</f>
        <v>5.1848000000000001</v>
      </c>
      <c r="C370" s="60">
        <f>5.1848 * CHOOSE(CONTROL!$C$22, $C$13, 100%, $E$13)</f>
        <v>5.1848000000000001</v>
      </c>
      <c r="D370" s="60">
        <f>5.2225 * CHOOSE(CONTROL!$C$22, $C$13, 100%, $E$13)</f>
        <v>5.2225000000000001</v>
      </c>
      <c r="E370" s="61">
        <f>5.8012 * CHOOSE(CONTROL!$C$22, $C$13, 100%, $E$13)</f>
        <v>5.8011999999999997</v>
      </c>
      <c r="F370" s="61">
        <f>5.8012 * CHOOSE(CONTROL!$C$22, $C$13, 100%, $E$13)</f>
        <v>5.8011999999999997</v>
      </c>
      <c r="G370" s="61">
        <f>5.8035 * CHOOSE(CONTROL!$C$22, $C$13, 100%, $E$13)</f>
        <v>5.8034999999999997</v>
      </c>
      <c r="H370" s="61">
        <f>10.7573* CHOOSE(CONTROL!$C$22, $C$13, 100%, $E$13)</f>
        <v>10.757300000000001</v>
      </c>
      <c r="I370" s="61">
        <f>10.7597 * CHOOSE(CONTROL!$C$22, $C$13, 100%, $E$13)</f>
        <v>10.7597</v>
      </c>
      <c r="J370" s="61">
        <f>5.8012 * CHOOSE(CONTROL!$C$22, $C$13, 100%, $E$13)</f>
        <v>5.8011999999999997</v>
      </c>
      <c r="K370" s="61">
        <f>5.8035 * CHOOSE(CONTROL!$C$22, $C$13, 100%, $E$13)</f>
        <v>5.8034999999999997</v>
      </c>
    </row>
    <row r="371" spans="1:11" ht="15">
      <c r="A371" s="13">
        <v>53144</v>
      </c>
      <c r="B371" s="60">
        <f>5.2653 * CHOOSE(CONTROL!$C$22, $C$13, 100%, $E$13)</f>
        <v>5.2652999999999999</v>
      </c>
      <c r="C371" s="60">
        <f>5.2653 * CHOOSE(CONTROL!$C$22, $C$13, 100%, $E$13)</f>
        <v>5.2652999999999999</v>
      </c>
      <c r="D371" s="60">
        <f>5.3029 * CHOOSE(CONTROL!$C$22, $C$13, 100%, $E$13)</f>
        <v>5.3029000000000002</v>
      </c>
      <c r="E371" s="61">
        <f>5.9136 * CHOOSE(CONTROL!$C$22, $C$13, 100%, $E$13)</f>
        <v>5.9135999999999997</v>
      </c>
      <c r="F371" s="61">
        <f>5.9136 * CHOOSE(CONTROL!$C$22, $C$13, 100%, $E$13)</f>
        <v>5.9135999999999997</v>
      </c>
      <c r="G371" s="61">
        <f>5.9159 * CHOOSE(CONTROL!$C$22, $C$13, 100%, $E$13)</f>
        <v>5.9158999999999997</v>
      </c>
      <c r="H371" s="61">
        <f>10.7798* CHOOSE(CONTROL!$C$22, $C$13, 100%, $E$13)</f>
        <v>10.7798</v>
      </c>
      <c r="I371" s="61">
        <f>10.7821 * CHOOSE(CONTROL!$C$22, $C$13, 100%, $E$13)</f>
        <v>10.7821</v>
      </c>
      <c r="J371" s="61">
        <f>5.9136 * CHOOSE(CONTROL!$C$22, $C$13, 100%, $E$13)</f>
        <v>5.9135999999999997</v>
      </c>
      <c r="K371" s="61">
        <f>5.9159 * CHOOSE(CONTROL!$C$22, $C$13, 100%, $E$13)</f>
        <v>5.9158999999999997</v>
      </c>
    </row>
    <row r="372" spans="1:11" ht="15">
      <c r="A372" s="13">
        <v>53175</v>
      </c>
      <c r="B372" s="60">
        <f>5.272 * CHOOSE(CONTROL!$C$22, $C$13, 100%, $E$13)</f>
        <v>5.2720000000000002</v>
      </c>
      <c r="C372" s="60">
        <f>5.272 * CHOOSE(CONTROL!$C$22, $C$13, 100%, $E$13)</f>
        <v>5.2720000000000002</v>
      </c>
      <c r="D372" s="60">
        <f>5.3096 * CHOOSE(CONTROL!$C$22, $C$13, 100%, $E$13)</f>
        <v>5.3095999999999997</v>
      </c>
      <c r="E372" s="61">
        <f>5.8372 * CHOOSE(CONTROL!$C$22, $C$13, 100%, $E$13)</f>
        <v>5.8372000000000002</v>
      </c>
      <c r="F372" s="61">
        <f>5.8372 * CHOOSE(CONTROL!$C$22, $C$13, 100%, $E$13)</f>
        <v>5.8372000000000002</v>
      </c>
      <c r="G372" s="61">
        <f>5.8396 * CHOOSE(CONTROL!$C$22, $C$13, 100%, $E$13)</f>
        <v>5.8395999999999999</v>
      </c>
      <c r="H372" s="61">
        <f>10.8022* CHOOSE(CONTROL!$C$22, $C$13, 100%, $E$13)</f>
        <v>10.802199999999999</v>
      </c>
      <c r="I372" s="61">
        <f>10.8045 * CHOOSE(CONTROL!$C$22, $C$13, 100%, $E$13)</f>
        <v>10.804500000000001</v>
      </c>
      <c r="J372" s="61">
        <f>5.8372 * CHOOSE(CONTROL!$C$22, $C$13, 100%, $E$13)</f>
        <v>5.8372000000000002</v>
      </c>
      <c r="K372" s="61">
        <f>5.8396 * CHOOSE(CONTROL!$C$22, $C$13, 100%, $E$13)</f>
        <v>5.8395999999999999</v>
      </c>
    </row>
    <row r="373" spans="1:11" ht="15">
      <c r="A373" s="13">
        <v>53206</v>
      </c>
      <c r="B373" s="60">
        <f>5.269 * CHOOSE(CONTROL!$C$22, $C$13, 100%, $E$13)</f>
        <v>5.2690000000000001</v>
      </c>
      <c r="C373" s="60">
        <f>5.269 * CHOOSE(CONTROL!$C$22, $C$13, 100%, $E$13)</f>
        <v>5.2690000000000001</v>
      </c>
      <c r="D373" s="60">
        <f>5.3066 * CHOOSE(CONTROL!$C$22, $C$13, 100%, $E$13)</f>
        <v>5.3066000000000004</v>
      </c>
      <c r="E373" s="61">
        <f>5.8261 * CHOOSE(CONTROL!$C$22, $C$13, 100%, $E$13)</f>
        <v>5.8261000000000003</v>
      </c>
      <c r="F373" s="61">
        <f>5.8261 * CHOOSE(CONTROL!$C$22, $C$13, 100%, $E$13)</f>
        <v>5.8261000000000003</v>
      </c>
      <c r="G373" s="61">
        <f>5.8284 * CHOOSE(CONTROL!$C$22, $C$13, 100%, $E$13)</f>
        <v>5.8284000000000002</v>
      </c>
      <c r="H373" s="61">
        <f>10.8247* CHOOSE(CONTROL!$C$22, $C$13, 100%, $E$13)</f>
        <v>10.8247</v>
      </c>
      <c r="I373" s="61">
        <f>10.827 * CHOOSE(CONTROL!$C$22, $C$13, 100%, $E$13)</f>
        <v>10.827</v>
      </c>
      <c r="J373" s="61">
        <f>5.8261 * CHOOSE(CONTROL!$C$22, $C$13, 100%, $E$13)</f>
        <v>5.8261000000000003</v>
      </c>
      <c r="K373" s="61">
        <f>5.8284 * CHOOSE(CONTROL!$C$22, $C$13, 100%, $E$13)</f>
        <v>5.8284000000000002</v>
      </c>
    </row>
    <row r="374" spans="1:11" ht="15">
      <c r="A374" s="13">
        <v>53236</v>
      </c>
      <c r="B374" s="60">
        <f>5.2689 * CHOOSE(CONTROL!$C$22, $C$13, 100%, $E$13)</f>
        <v>5.2689000000000004</v>
      </c>
      <c r="C374" s="60">
        <f>5.2689 * CHOOSE(CONTROL!$C$22, $C$13, 100%, $E$13)</f>
        <v>5.2689000000000004</v>
      </c>
      <c r="D374" s="60">
        <f>5.2878 * CHOOSE(CONTROL!$C$22, $C$13, 100%, $E$13)</f>
        <v>5.2877999999999998</v>
      </c>
      <c r="E374" s="61">
        <f>5.8487 * CHOOSE(CONTROL!$C$22, $C$13, 100%, $E$13)</f>
        <v>5.8487</v>
      </c>
      <c r="F374" s="61">
        <f>5.8487 * CHOOSE(CONTROL!$C$22, $C$13, 100%, $E$13)</f>
        <v>5.8487</v>
      </c>
      <c r="G374" s="61">
        <f>5.8489 * CHOOSE(CONTROL!$C$22, $C$13, 100%, $E$13)</f>
        <v>5.8489000000000004</v>
      </c>
      <c r="H374" s="61">
        <f>10.8473* CHOOSE(CONTROL!$C$22, $C$13, 100%, $E$13)</f>
        <v>10.847300000000001</v>
      </c>
      <c r="I374" s="61">
        <f>10.8474 * CHOOSE(CONTROL!$C$22, $C$13, 100%, $E$13)</f>
        <v>10.8474</v>
      </c>
      <c r="J374" s="61">
        <f>5.8487 * CHOOSE(CONTROL!$C$22, $C$13, 100%, $E$13)</f>
        <v>5.8487</v>
      </c>
      <c r="K374" s="61">
        <f>5.8489 * CHOOSE(CONTROL!$C$22, $C$13, 100%, $E$13)</f>
        <v>5.8489000000000004</v>
      </c>
    </row>
    <row r="375" spans="1:11" ht="15">
      <c r="A375" s="13">
        <v>53267</v>
      </c>
      <c r="B375" s="60">
        <f>5.272 * CHOOSE(CONTROL!$C$22, $C$13, 100%, $E$13)</f>
        <v>5.2720000000000002</v>
      </c>
      <c r="C375" s="60">
        <f>5.272 * CHOOSE(CONTROL!$C$22, $C$13, 100%, $E$13)</f>
        <v>5.2720000000000002</v>
      </c>
      <c r="D375" s="60">
        <f>5.2908 * CHOOSE(CONTROL!$C$22, $C$13, 100%, $E$13)</f>
        <v>5.2907999999999999</v>
      </c>
      <c r="E375" s="61">
        <f>5.8688 * CHOOSE(CONTROL!$C$22, $C$13, 100%, $E$13)</f>
        <v>5.8688000000000002</v>
      </c>
      <c r="F375" s="61">
        <f>5.8688 * CHOOSE(CONTROL!$C$22, $C$13, 100%, $E$13)</f>
        <v>5.8688000000000002</v>
      </c>
      <c r="G375" s="61">
        <f>5.869 * CHOOSE(CONTROL!$C$22, $C$13, 100%, $E$13)</f>
        <v>5.8689999999999998</v>
      </c>
      <c r="H375" s="61">
        <f>10.8699* CHOOSE(CONTROL!$C$22, $C$13, 100%, $E$13)</f>
        <v>10.869899999999999</v>
      </c>
      <c r="I375" s="61">
        <f>10.87 * CHOOSE(CONTROL!$C$22, $C$13, 100%, $E$13)</f>
        <v>10.87</v>
      </c>
      <c r="J375" s="61">
        <f>5.8688 * CHOOSE(CONTROL!$C$22, $C$13, 100%, $E$13)</f>
        <v>5.8688000000000002</v>
      </c>
      <c r="K375" s="61">
        <f>5.869 * CHOOSE(CONTROL!$C$22, $C$13, 100%, $E$13)</f>
        <v>5.8689999999999998</v>
      </c>
    </row>
    <row r="376" spans="1:11" ht="15">
      <c r="A376" s="13">
        <v>53297</v>
      </c>
      <c r="B376" s="60">
        <f>5.272 * CHOOSE(CONTROL!$C$22, $C$13, 100%, $E$13)</f>
        <v>5.2720000000000002</v>
      </c>
      <c r="C376" s="60">
        <f>5.272 * CHOOSE(CONTROL!$C$22, $C$13, 100%, $E$13)</f>
        <v>5.2720000000000002</v>
      </c>
      <c r="D376" s="60">
        <f>5.2908 * CHOOSE(CONTROL!$C$22, $C$13, 100%, $E$13)</f>
        <v>5.2907999999999999</v>
      </c>
      <c r="E376" s="61">
        <f>5.8238 * CHOOSE(CONTROL!$C$22, $C$13, 100%, $E$13)</f>
        <v>5.8238000000000003</v>
      </c>
      <c r="F376" s="61">
        <f>5.8238 * CHOOSE(CONTROL!$C$22, $C$13, 100%, $E$13)</f>
        <v>5.8238000000000003</v>
      </c>
      <c r="G376" s="61">
        <f>5.824 * CHOOSE(CONTROL!$C$22, $C$13, 100%, $E$13)</f>
        <v>5.8239999999999998</v>
      </c>
      <c r="H376" s="61">
        <f>10.8925* CHOOSE(CONTROL!$C$22, $C$13, 100%, $E$13)</f>
        <v>10.8925</v>
      </c>
      <c r="I376" s="61">
        <f>10.8927 * CHOOSE(CONTROL!$C$22, $C$13, 100%, $E$13)</f>
        <v>10.8927</v>
      </c>
      <c r="J376" s="61">
        <f>5.8238 * CHOOSE(CONTROL!$C$22, $C$13, 100%, $E$13)</f>
        <v>5.8238000000000003</v>
      </c>
      <c r="K376" s="61">
        <f>5.824 * CHOOSE(CONTROL!$C$22, $C$13, 100%, $E$13)</f>
        <v>5.8239999999999998</v>
      </c>
    </row>
    <row r="377" spans="1:11" ht="15">
      <c r="A377" s="13">
        <v>53328</v>
      </c>
      <c r="B377" s="60">
        <f>5.3175 * CHOOSE(CONTROL!$C$22, $C$13, 100%, $E$13)</f>
        <v>5.3174999999999999</v>
      </c>
      <c r="C377" s="60">
        <f>5.3175 * CHOOSE(CONTROL!$C$22, $C$13, 100%, $E$13)</f>
        <v>5.3174999999999999</v>
      </c>
      <c r="D377" s="60">
        <f>5.3363 * CHOOSE(CONTROL!$C$22, $C$13, 100%, $E$13)</f>
        <v>5.3362999999999996</v>
      </c>
      <c r="E377" s="61">
        <f>5.9129 * CHOOSE(CONTROL!$C$22, $C$13, 100%, $E$13)</f>
        <v>5.9128999999999996</v>
      </c>
      <c r="F377" s="61">
        <f>5.9129 * CHOOSE(CONTROL!$C$22, $C$13, 100%, $E$13)</f>
        <v>5.9128999999999996</v>
      </c>
      <c r="G377" s="61">
        <f>5.9131 * CHOOSE(CONTROL!$C$22, $C$13, 100%, $E$13)</f>
        <v>5.9131</v>
      </c>
      <c r="H377" s="61">
        <f>10.9152* CHOOSE(CONTROL!$C$22, $C$13, 100%, $E$13)</f>
        <v>10.9152</v>
      </c>
      <c r="I377" s="61">
        <f>10.9154 * CHOOSE(CONTROL!$C$22, $C$13, 100%, $E$13)</f>
        <v>10.9154</v>
      </c>
      <c r="J377" s="61">
        <f>5.9129 * CHOOSE(CONTROL!$C$22, $C$13, 100%, $E$13)</f>
        <v>5.9128999999999996</v>
      </c>
      <c r="K377" s="61">
        <f>5.9131 * CHOOSE(CONTROL!$C$22, $C$13, 100%, $E$13)</f>
        <v>5.9131</v>
      </c>
    </row>
    <row r="378" spans="1:11" ht="15">
      <c r="A378" s="13">
        <v>53359</v>
      </c>
      <c r="B378" s="60">
        <f>5.3145 * CHOOSE(CONTROL!$C$22, $C$13, 100%, $E$13)</f>
        <v>5.3144999999999998</v>
      </c>
      <c r="C378" s="60">
        <f>5.3145 * CHOOSE(CONTROL!$C$22, $C$13, 100%, $E$13)</f>
        <v>5.3144999999999998</v>
      </c>
      <c r="D378" s="60">
        <f>5.3333 * CHOOSE(CONTROL!$C$22, $C$13, 100%, $E$13)</f>
        <v>5.3333000000000004</v>
      </c>
      <c r="E378" s="61">
        <f>5.823 * CHOOSE(CONTROL!$C$22, $C$13, 100%, $E$13)</f>
        <v>5.8230000000000004</v>
      </c>
      <c r="F378" s="61">
        <f>5.823 * CHOOSE(CONTROL!$C$22, $C$13, 100%, $E$13)</f>
        <v>5.8230000000000004</v>
      </c>
      <c r="G378" s="61">
        <f>5.8232 * CHOOSE(CONTROL!$C$22, $C$13, 100%, $E$13)</f>
        <v>5.8231999999999999</v>
      </c>
      <c r="H378" s="61">
        <f>10.9379* CHOOSE(CONTROL!$C$22, $C$13, 100%, $E$13)</f>
        <v>10.937900000000001</v>
      </c>
      <c r="I378" s="61">
        <f>10.9381 * CHOOSE(CONTROL!$C$22, $C$13, 100%, $E$13)</f>
        <v>10.9381</v>
      </c>
      <c r="J378" s="61">
        <f>5.823 * CHOOSE(CONTROL!$C$22, $C$13, 100%, $E$13)</f>
        <v>5.8230000000000004</v>
      </c>
      <c r="K378" s="61">
        <f>5.8232 * CHOOSE(CONTROL!$C$22, $C$13, 100%, $E$13)</f>
        <v>5.8231999999999999</v>
      </c>
    </row>
    <row r="379" spans="1:11" ht="15">
      <c r="A379" s="13">
        <v>53387</v>
      </c>
      <c r="B379" s="60">
        <f>5.3114 * CHOOSE(CONTROL!$C$22, $C$13, 100%, $E$13)</f>
        <v>5.3113999999999999</v>
      </c>
      <c r="C379" s="60">
        <f>5.3114 * CHOOSE(CONTROL!$C$22, $C$13, 100%, $E$13)</f>
        <v>5.3113999999999999</v>
      </c>
      <c r="D379" s="60">
        <f>5.3302 * CHOOSE(CONTROL!$C$22, $C$13, 100%, $E$13)</f>
        <v>5.3301999999999996</v>
      </c>
      <c r="E379" s="61">
        <f>5.8901 * CHOOSE(CONTROL!$C$22, $C$13, 100%, $E$13)</f>
        <v>5.8901000000000003</v>
      </c>
      <c r="F379" s="61">
        <f>5.8901 * CHOOSE(CONTROL!$C$22, $C$13, 100%, $E$13)</f>
        <v>5.8901000000000003</v>
      </c>
      <c r="G379" s="61">
        <f>5.8903 * CHOOSE(CONTROL!$C$22, $C$13, 100%, $E$13)</f>
        <v>5.8902999999999999</v>
      </c>
      <c r="H379" s="61">
        <f>10.9607* CHOOSE(CONTROL!$C$22, $C$13, 100%, $E$13)</f>
        <v>10.960699999999999</v>
      </c>
      <c r="I379" s="61">
        <f>10.9609 * CHOOSE(CONTROL!$C$22, $C$13, 100%, $E$13)</f>
        <v>10.960900000000001</v>
      </c>
      <c r="J379" s="61">
        <f>5.8901 * CHOOSE(CONTROL!$C$22, $C$13, 100%, $E$13)</f>
        <v>5.8901000000000003</v>
      </c>
      <c r="K379" s="61">
        <f>5.8903 * CHOOSE(CONTROL!$C$22, $C$13, 100%, $E$13)</f>
        <v>5.8902999999999999</v>
      </c>
    </row>
    <row r="380" spans="1:11" ht="15">
      <c r="A380" s="13">
        <v>53418</v>
      </c>
      <c r="B380" s="60">
        <f>5.3104 * CHOOSE(CONTROL!$C$22, $C$13, 100%, $E$13)</f>
        <v>5.3103999999999996</v>
      </c>
      <c r="C380" s="60">
        <f>5.3104 * CHOOSE(CONTROL!$C$22, $C$13, 100%, $E$13)</f>
        <v>5.3103999999999996</v>
      </c>
      <c r="D380" s="60">
        <f>5.3292 * CHOOSE(CONTROL!$C$22, $C$13, 100%, $E$13)</f>
        <v>5.3292000000000002</v>
      </c>
      <c r="E380" s="61">
        <f>5.9601 * CHOOSE(CONTROL!$C$22, $C$13, 100%, $E$13)</f>
        <v>5.9600999999999997</v>
      </c>
      <c r="F380" s="61">
        <f>5.9601 * CHOOSE(CONTROL!$C$22, $C$13, 100%, $E$13)</f>
        <v>5.9600999999999997</v>
      </c>
      <c r="G380" s="61">
        <f>5.9603 * CHOOSE(CONTROL!$C$22, $C$13, 100%, $E$13)</f>
        <v>5.9603000000000002</v>
      </c>
      <c r="H380" s="61">
        <f>10.9836* CHOOSE(CONTROL!$C$22, $C$13, 100%, $E$13)</f>
        <v>10.983599999999999</v>
      </c>
      <c r="I380" s="61">
        <f>10.9837 * CHOOSE(CONTROL!$C$22, $C$13, 100%, $E$13)</f>
        <v>10.983700000000001</v>
      </c>
      <c r="J380" s="61">
        <f>5.9601 * CHOOSE(CONTROL!$C$22, $C$13, 100%, $E$13)</f>
        <v>5.9600999999999997</v>
      </c>
      <c r="K380" s="61">
        <f>5.9603 * CHOOSE(CONTROL!$C$22, $C$13, 100%, $E$13)</f>
        <v>5.9603000000000002</v>
      </c>
    </row>
    <row r="381" spans="1:11" ht="15">
      <c r="A381" s="13">
        <v>53448</v>
      </c>
      <c r="B381" s="60">
        <f>5.3104 * CHOOSE(CONTROL!$C$22, $C$13, 100%, $E$13)</f>
        <v>5.3103999999999996</v>
      </c>
      <c r="C381" s="60">
        <f>5.3104 * CHOOSE(CONTROL!$C$22, $C$13, 100%, $E$13)</f>
        <v>5.3103999999999996</v>
      </c>
      <c r="D381" s="60">
        <f>5.348 * CHOOSE(CONTROL!$C$22, $C$13, 100%, $E$13)</f>
        <v>5.3479999999999999</v>
      </c>
      <c r="E381" s="61">
        <f>5.988 * CHOOSE(CONTROL!$C$22, $C$13, 100%, $E$13)</f>
        <v>5.9880000000000004</v>
      </c>
      <c r="F381" s="61">
        <f>5.988 * CHOOSE(CONTROL!$C$22, $C$13, 100%, $E$13)</f>
        <v>5.9880000000000004</v>
      </c>
      <c r="G381" s="61">
        <f>5.9903 * CHOOSE(CONTROL!$C$22, $C$13, 100%, $E$13)</f>
        <v>5.9903000000000004</v>
      </c>
      <c r="H381" s="61">
        <f>11.0064* CHOOSE(CONTROL!$C$22, $C$13, 100%, $E$13)</f>
        <v>11.006399999999999</v>
      </c>
      <c r="I381" s="61">
        <f>11.0088 * CHOOSE(CONTROL!$C$22, $C$13, 100%, $E$13)</f>
        <v>11.008800000000001</v>
      </c>
      <c r="J381" s="61">
        <f>5.988 * CHOOSE(CONTROL!$C$22, $C$13, 100%, $E$13)</f>
        <v>5.9880000000000004</v>
      </c>
      <c r="K381" s="61">
        <f>5.9903 * CHOOSE(CONTROL!$C$22, $C$13, 100%, $E$13)</f>
        <v>5.9903000000000004</v>
      </c>
    </row>
    <row r="382" spans="1:11" ht="15">
      <c r="A382" s="13">
        <v>53479</v>
      </c>
      <c r="B382" s="60">
        <f>5.3165 * CHOOSE(CONTROL!$C$22, $C$13, 100%, $E$13)</f>
        <v>5.3164999999999996</v>
      </c>
      <c r="C382" s="60">
        <f>5.3165 * CHOOSE(CONTROL!$C$22, $C$13, 100%, $E$13)</f>
        <v>5.3164999999999996</v>
      </c>
      <c r="D382" s="60">
        <f>5.3541 * CHOOSE(CONTROL!$C$22, $C$13, 100%, $E$13)</f>
        <v>5.3540999999999999</v>
      </c>
      <c r="E382" s="61">
        <f>5.9644 * CHOOSE(CONTROL!$C$22, $C$13, 100%, $E$13)</f>
        <v>5.9644000000000004</v>
      </c>
      <c r="F382" s="61">
        <f>5.9644 * CHOOSE(CONTROL!$C$22, $C$13, 100%, $E$13)</f>
        <v>5.9644000000000004</v>
      </c>
      <c r="G382" s="61">
        <f>5.9667 * CHOOSE(CONTROL!$C$22, $C$13, 100%, $E$13)</f>
        <v>5.9667000000000003</v>
      </c>
      <c r="H382" s="61">
        <f>11.0294* CHOOSE(CONTROL!$C$22, $C$13, 100%, $E$13)</f>
        <v>11.029400000000001</v>
      </c>
      <c r="I382" s="61">
        <f>11.0317 * CHOOSE(CONTROL!$C$22, $C$13, 100%, $E$13)</f>
        <v>11.031700000000001</v>
      </c>
      <c r="J382" s="61">
        <f>5.9644 * CHOOSE(CONTROL!$C$22, $C$13, 100%, $E$13)</f>
        <v>5.9644000000000004</v>
      </c>
      <c r="K382" s="61">
        <f>5.9667 * CHOOSE(CONTROL!$C$22, $C$13, 100%, $E$13)</f>
        <v>5.9667000000000003</v>
      </c>
    </row>
    <row r="383" spans="1:11" ht="15">
      <c r="A383" s="13">
        <v>53509</v>
      </c>
      <c r="B383" s="60">
        <f>5.3987 * CHOOSE(CONTROL!$C$22, $C$13, 100%, $E$13)</f>
        <v>5.3986999999999998</v>
      </c>
      <c r="C383" s="60">
        <f>5.3987 * CHOOSE(CONTROL!$C$22, $C$13, 100%, $E$13)</f>
        <v>5.3986999999999998</v>
      </c>
      <c r="D383" s="60">
        <f>5.4364 * CHOOSE(CONTROL!$C$22, $C$13, 100%, $E$13)</f>
        <v>5.4363999999999999</v>
      </c>
      <c r="E383" s="61">
        <f>6.0796 * CHOOSE(CONTROL!$C$22, $C$13, 100%, $E$13)</f>
        <v>6.0796000000000001</v>
      </c>
      <c r="F383" s="61">
        <f>6.0796 * CHOOSE(CONTROL!$C$22, $C$13, 100%, $E$13)</f>
        <v>6.0796000000000001</v>
      </c>
      <c r="G383" s="61">
        <f>6.0819 * CHOOSE(CONTROL!$C$22, $C$13, 100%, $E$13)</f>
        <v>6.0819000000000001</v>
      </c>
      <c r="H383" s="61">
        <f>11.0524* CHOOSE(CONTROL!$C$22, $C$13, 100%, $E$13)</f>
        <v>11.0524</v>
      </c>
      <c r="I383" s="61">
        <f>11.0547 * CHOOSE(CONTROL!$C$22, $C$13, 100%, $E$13)</f>
        <v>11.0547</v>
      </c>
      <c r="J383" s="61">
        <f>6.0796 * CHOOSE(CONTROL!$C$22, $C$13, 100%, $E$13)</f>
        <v>6.0796000000000001</v>
      </c>
      <c r="K383" s="61">
        <f>6.0819 * CHOOSE(CONTROL!$C$22, $C$13, 100%, $E$13)</f>
        <v>6.0819000000000001</v>
      </c>
    </row>
    <row r="384" spans="1:11" ht="15">
      <c r="A384" s="13">
        <v>53540</v>
      </c>
      <c r="B384" s="60">
        <f>5.4054 * CHOOSE(CONTROL!$C$22, $C$13, 100%, $E$13)</f>
        <v>5.4054000000000002</v>
      </c>
      <c r="C384" s="60">
        <f>5.4054 * CHOOSE(CONTROL!$C$22, $C$13, 100%, $E$13)</f>
        <v>5.4054000000000002</v>
      </c>
      <c r="D384" s="60">
        <f>5.4431 * CHOOSE(CONTROL!$C$22, $C$13, 100%, $E$13)</f>
        <v>5.4431000000000003</v>
      </c>
      <c r="E384" s="61">
        <f>6.0007 * CHOOSE(CONTROL!$C$22, $C$13, 100%, $E$13)</f>
        <v>6.0007000000000001</v>
      </c>
      <c r="F384" s="61">
        <f>6.0007 * CHOOSE(CONTROL!$C$22, $C$13, 100%, $E$13)</f>
        <v>6.0007000000000001</v>
      </c>
      <c r="G384" s="61">
        <f>6.003 * CHOOSE(CONTROL!$C$22, $C$13, 100%, $E$13)</f>
        <v>6.0030000000000001</v>
      </c>
      <c r="H384" s="61">
        <f>11.0754* CHOOSE(CONTROL!$C$22, $C$13, 100%, $E$13)</f>
        <v>11.0754</v>
      </c>
      <c r="I384" s="61">
        <f>11.0777 * CHOOSE(CONTROL!$C$22, $C$13, 100%, $E$13)</f>
        <v>11.0777</v>
      </c>
      <c r="J384" s="61">
        <f>6.0007 * CHOOSE(CONTROL!$C$22, $C$13, 100%, $E$13)</f>
        <v>6.0007000000000001</v>
      </c>
      <c r="K384" s="61">
        <f>6.003 * CHOOSE(CONTROL!$C$22, $C$13, 100%, $E$13)</f>
        <v>6.0030000000000001</v>
      </c>
    </row>
    <row r="385" spans="1:11" ht="15">
      <c r="A385" s="13">
        <v>53571</v>
      </c>
      <c r="B385" s="60">
        <f>5.4024 * CHOOSE(CONTROL!$C$22, $C$13, 100%, $E$13)</f>
        <v>5.4024000000000001</v>
      </c>
      <c r="C385" s="60">
        <f>5.4024 * CHOOSE(CONTROL!$C$22, $C$13, 100%, $E$13)</f>
        <v>5.4024000000000001</v>
      </c>
      <c r="D385" s="60">
        <f>5.44 * CHOOSE(CONTROL!$C$22, $C$13, 100%, $E$13)</f>
        <v>5.44</v>
      </c>
      <c r="E385" s="61">
        <f>5.9893 * CHOOSE(CONTROL!$C$22, $C$13, 100%, $E$13)</f>
        <v>5.9893000000000001</v>
      </c>
      <c r="F385" s="61">
        <f>5.9893 * CHOOSE(CONTROL!$C$22, $C$13, 100%, $E$13)</f>
        <v>5.9893000000000001</v>
      </c>
      <c r="G385" s="61">
        <f>5.9916 * CHOOSE(CONTROL!$C$22, $C$13, 100%, $E$13)</f>
        <v>5.9916</v>
      </c>
      <c r="H385" s="61">
        <f>11.0985* CHOOSE(CONTROL!$C$22, $C$13, 100%, $E$13)</f>
        <v>11.0985</v>
      </c>
      <c r="I385" s="61">
        <f>11.1008 * CHOOSE(CONTROL!$C$22, $C$13, 100%, $E$13)</f>
        <v>11.1008</v>
      </c>
      <c r="J385" s="61">
        <f>5.9893 * CHOOSE(CONTROL!$C$22, $C$13, 100%, $E$13)</f>
        <v>5.9893000000000001</v>
      </c>
      <c r="K385" s="61">
        <f>5.9916 * CHOOSE(CONTROL!$C$22, $C$13, 100%, $E$13)</f>
        <v>5.9916</v>
      </c>
    </row>
    <row r="386" spans="1:11" ht="15">
      <c r="A386" s="13">
        <v>53601</v>
      </c>
      <c r="B386" s="60">
        <f>5.4029 * CHOOSE(CONTROL!$C$22, $C$13, 100%, $E$13)</f>
        <v>5.4028999999999998</v>
      </c>
      <c r="C386" s="60">
        <f>5.4029 * CHOOSE(CONTROL!$C$22, $C$13, 100%, $E$13)</f>
        <v>5.4028999999999998</v>
      </c>
      <c r="D386" s="60">
        <f>5.4217 * CHOOSE(CONTROL!$C$22, $C$13, 100%, $E$13)</f>
        <v>5.4217000000000004</v>
      </c>
      <c r="E386" s="61">
        <f>6.013 * CHOOSE(CONTROL!$C$22, $C$13, 100%, $E$13)</f>
        <v>6.0129999999999999</v>
      </c>
      <c r="F386" s="61">
        <f>6.013 * CHOOSE(CONTROL!$C$22, $C$13, 100%, $E$13)</f>
        <v>6.0129999999999999</v>
      </c>
      <c r="G386" s="61">
        <f>6.0132 * CHOOSE(CONTROL!$C$22, $C$13, 100%, $E$13)</f>
        <v>6.0132000000000003</v>
      </c>
      <c r="H386" s="61">
        <f>11.1216* CHOOSE(CONTROL!$C$22, $C$13, 100%, $E$13)</f>
        <v>11.121600000000001</v>
      </c>
      <c r="I386" s="61">
        <f>11.1218 * CHOOSE(CONTROL!$C$22, $C$13, 100%, $E$13)</f>
        <v>11.1218</v>
      </c>
      <c r="J386" s="61">
        <f>6.013 * CHOOSE(CONTROL!$C$22, $C$13, 100%, $E$13)</f>
        <v>6.0129999999999999</v>
      </c>
      <c r="K386" s="61">
        <f>6.0132 * CHOOSE(CONTROL!$C$22, $C$13, 100%, $E$13)</f>
        <v>6.0132000000000003</v>
      </c>
    </row>
    <row r="387" spans="1:11" ht="15">
      <c r="A387" s="13">
        <v>53632</v>
      </c>
      <c r="B387" s="60">
        <f>5.4059 * CHOOSE(CONTROL!$C$22, $C$13, 100%, $E$13)</f>
        <v>5.4058999999999999</v>
      </c>
      <c r="C387" s="60">
        <f>5.4059 * CHOOSE(CONTROL!$C$22, $C$13, 100%, $E$13)</f>
        <v>5.4058999999999999</v>
      </c>
      <c r="D387" s="60">
        <f>5.4247 * CHOOSE(CONTROL!$C$22, $C$13, 100%, $E$13)</f>
        <v>5.4246999999999996</v>
      </c>
      <c r="E387" s="61">
        <f>6.0337 * CHOOSE(CONTROL!$C$22, $C$13, 100%, $E$13)</f>
        <v>6.0336999999999996</v>
      </c>
      <c r="F387" s="61">
        <f>6.0337 * CHOOSE(CONTROL!$C$22, $C$13, 100%, $E$13)</f>
        <v>6.0336999999999996</v>
      </c>
      <c r="G387" s="61">
        <f>6.0339 * CHOOSE(CONTROL!$C$22, $C$13, 100%, $E$13)</f>
        <v>6.0339</v>
      </c>
      <c r="H387" s="61">
        <f>11.1447* CHOOSE(CONTROL!$C$22, $C$13, 100%, $E$13)</f>
        <v>11.1447</v>
      </c>
      <c r="I387" s="61">
        <f>11.1449 * CHOOSE(CONTROL!$C$22, $C$13, 100%, $E$13)</f>
        <v>11.1449</v>
      </c>
      <c r="J387" s="61">
        <f>6.0337 * CHOOSE(CONTROL!$C$22, $C$13, 100%, $E$13)</f>
        <v>6.0336999999999996</v>
      </c>
      <c r="K387" s="61">
        <f>6.0339 * CHOOSE(CONTROL!$C$22, $C$13, 100%, $E$13)</f>
        <v>6.0339</v>
      </c>
    </row>
    <row r="388" spans="1:11" ht="15">
      <c r="A388" s="13">
        <v>53662</v>
      </c>
      <c r="B388" s="60">
        <f>5.4059 * CHOOSE(CONTROL!$C$22, $C$13, 100%, $E$13)</f>
        <v>5.4058999999999999</v>
      </c>
      <c r="C388" s="60">
        <f>5.4059 * CHOOSE(CONTROL!$C$22, $C$13, 100%, $E$13)</f>
        <v>5.4058999999999999</v>
      </c>
      <c r="D388" s="60">
        <f>5.4247 * CHOOSE(CONTROL!$C$22, $C$13, 100%, $E$13)</f>
        <v>5.4246999999999996</v>
      </c>
      <c r="E388" s="61">
        <f>5.9872 * CHOOSE(CONTROL!$C$22, $C$13, 100%, $E$13)</f>
        <v>5.9871999999999996</v>
      </c>
      <c r="F388" s="61">
        <f>5.9872 * CHOOSE(CONTROL!$C$22, $C$13, 100%, $E$13)</f>
        <v>5.9871999999999996</v>
      </c>
      <c r="G388" s="61">
        <f>5.9874 * CHOOSE(CONTROL!$C$22, $C$13, 100%, $E$13)</f>
        <v>5.9874000000000001</v>
      </c>
      <c r="H388" s="61">
        <f>11.168* CHOOSE(CONTROL!$C$22, $C$13, 100%, $E$13)</f>
        <v>11.167999999999999</v>
      </c>
      <c r="I388" s="61">
        <f>11.1681 * CHOOSE(CONTROL!$C$22, $C$13, 100%, $E$13)</f>
        <v>11.168100000000001</v>
      </c>
      <c r="J388" s="61">
        <f>5.9872 * CHOOSE(CONTROL!$C$22, $C$13, 100%, $E$13)</f>
        <v>5.9871999999999996</v>
      </c>
      <c r="K388" s="61">
        <f>5.9874 * CHOOSE(CONTROL!$C$22, $C$13, 100%, $E$13)</f>
        <v>5.9874000000000001</v>
      </c>
    </row>
    <row r="389" spans="1:11" ht="15">
      <c r="A389" s="13">
        <v>53693</v>
      </c>
      <c r="B389" s="60">
        <f>5.4524 * CHOOSE(CONTROL!$C$22, $C$13, 100%, $E$13)</f>
        <v>5.4523999999999999</v>
      </c>
      <c r="C389" s="60">
        <f>5.4524 * CHOOSE(CONTROL!$C$22, $C$13, 100%, $E$13)</f>
        <v>5.4523999999999999</v>
      </c>
      <c r="D389" s="60">
        <f>5.4713 * CHOOSE(CONTROL!$C$22, $C$13, 100%, $E$13)</f>
        <v>5.4713000000000003</v>
      </c>
      <c r="E389" s="61">
        <f>6.0789 * CHOOSE(CONTROL!$C$22, $C$13, 100%, $E$13)</f>
        <v>6.0789</v>
      </c>
      <c r="F389" s="61">
        <f>6.0789 * CHOOSE(CONTROL!$C$22, $C$13, 100%, $E$13)</f>
        <v>6.0789</v>
      </c>
      <c r="G389" s="61">
        <f>6.079 * CHOOSE(CONTROL!$C$22, $C$13, 100%, $E$13)</f>
        <v>6.0789999999999997</v>
      </c>
      <c r="H389" s="61">
        <f>11.1912* CHOOSE(CONTROL!$C$22, $C$13, 100%, $E$13)</f>
        <v>11.1912</v>
      </c>
      <c r="I389" s="61">
        <f>11.1914 * CHOOSE(CONTROL!$C$22, $C$13, 100%, $E$13)</f>
        <v>11.1914</v>
      </c>
      <c r="J389" s="61">
        <f>6.0789 * CHOOSE(CONTROL!$C$22, $C$13, 100%, $E$13)</f>
        <v>6.0789</v>
      </c>
      <c r="K389" s="61">
        <f>6.079 * CHOOSE(CONTROL!$C$22, $C$13, 100%, $E$13)</f>
        <v>6.0789999999999997</v>
      </c>
    </row>
    <row r="390" spans="1:11" ht="15">
      <c r="A390" s="13">
        <v>53724</v>
      </c>
      <c r="B390" s="60">
        <f>5.4494 * CHOOSE(CONTROL!$C$22, $C$13, 100%, $E$13)</f>
        <v>5.4493999999999998</v>
      </c>
      <c r="C390" s="60">
        <f>5.4494 * CHOOSE(CONTROL!$C$22, $C$13, 100%, $E$13)</f>
        <v>5.4493999999999998</v>
      </c>
      <c r="D390" s="60">
        <f>5.4682 * CHOOSE(CONTROL!$C$22, $C$13, 100%, $E$13)</f>
        <v>5.4682000000000004</v>
      </c>
      <c r="E390" s="61">
        <f>5.9862 * CHOOSE(CONTROL!$C$22, $C$13, 100%, $E$13)</f>
        <v>5.9862000000000002</v>
      </c>
      <c r="F390" s="61">
        <f>5.9862 * CHOOSE(CONTROL!$C$22, $C$13, 100%, $E$13)</f>
        <v>5.9862000000000002</v>
      </c>
      <c r="G390" s="61">
        <f>5.9864 * CHOOSE(CONTROL!$C$22, $C$13, 100%, $E$13)</f>
        <v>5.9863999999999997</v>
      </c>
      <c r="H390" s="61">
        <f>11.2145* CHOOSE(CONTROL!$C$22, $C$13, 100%, $E$13)</f>
        <v>11.214499999999999</v>
      </c>
      <c r="I390" s="61">
        <f>11.2147 * CHOOSE(CONTROL!$C$22, $C$13, 100%, $E$13)</f>
        <v>11.214700000000001</v>
      </c>
      <c r="J390" s="61">
        <f>5.9862 * CHOOSE(CONTROL!$C$22, $C$13, 100%, $E$13)</f>
        <v>5.9862000000000002</v>
      </c>
      <c r="K390" s="61">
        <f>5.9864 * CHOOSE(CONTROL!$C$22, $C$13, 100%, $E$13)</f>
        <v>5.9863999999999997</v>
      </c>
    </row>
    <row r="391" spans="1:11" ht="15">
      <c r="A391" s="13">
        <v>53752</v>
      </c>
      <c r="B391" s="60">
        <f>5.4464 * CHOOSE(CONTROL!$C$22, $C$13, 100%, $E$13)</f>
        <v>5.4463999999999997</v>
      </c>
      <c r="C391" s="60">
        <f>5.4464 * CHOOSE(CONTROL!$C$22, $C$13, 100%, $E$13)</f>
        <v>5.4463999999999997</v>
      </c>
      <c r="D391" s="60">
        <f>5.4652 * CHOOSE(CONTROL!$C$22, $C$13, 100%, $E$13)</f>
        <v>5.4652000000000003</v>
      </c>
      <c r="E391" s="61">
        <f>6.0555 * CHOOSE(CONTROL!$C$22, $C$13, 100%, $E$13)</f>
        <v>6.0555000000000003</v>
      </c>
      <c r="F391" s="61">
        <f>6.0555 * CHOOSE(CONTROL!$C$22, $C$13, 100%, $E$13)</f>
        <v>6.0555000000000003</v>
      </c>
      <c r="G391" s="61">
        <f>6.0556 * CHOOSE(CONTROL!$C$22, $C$13, 100%, $E$13)</f>
        <v>6.0556000000000001</v>
      </c>
      <c r="H391" s="61">
        <f>11.2379* CHOOSE(CONTROL!$C$22, $C$13, 100%, $E$13)</f>
        <v>11.2379</v>
      </c>
      <c r="I391" s="61">
        <f>11.2381 * CHOOSE(CONTROL!$C$22, $C$13, 100%, $E$13)</f>
        <v>11.238099999999999</v>
      </c>
      <c r="J391" s="61">
        <f>6.0555 * CHOOSE(CONTROL!$C$22, $C$13, 100%, $E$13)</f>
        <v>6.0555000000000003</v>
      </c>
      <c r="K391" s="61">
        <f>6.0556 * CHOOSE(CONTROL!$C$22, $C$13, 100%, $E$13)</f>
        <v>6.0556000000000001</v>
      </c>
    </row>
    <row r="392" spans="1:11" ht="15">
      <c r="A392" s="13">
        <v>53783</v>
      </c>
      <c r="B392" s="60">
        <f>5.4455 * CHOOSE(CONTROL!$C$22, $C$13, 100%, $E$13)</f>
        <v>5.4455</v>
      </c>
      <c r="C392" s="60">
        <f>5.4455 * CHOOSE(CONTROL!$C$22, $C$13, 100%, $E$13)</f>
        <v>5.4455</v>
      </c>
      <c r="D392" s="60">
        <f>5.4643 * CHOOSE(CONTROL!$C$22, $C$13, 100%, $E$13)</f>
        <v>5.4642999999999997</v>
      </c>
      <c r="E392" s="61">
        <f>6.1279 * CHOOSE(CONTROL!$C$22, $C$13, 100%, $E$13)</f>
        <v>6.1279000000000003</v>
      </c>
      <c r="F392" s="61">
        <f>6.1279 * CHOOSE(CONTROL!$C$22, $C$13, 100%, $E$13)</f>
        <v>6.1279000000000003</v>
      </c>
      <c r="G392" s="61">
        <f>6.1281 * CHOOSE(CONTROL!$C$22, $C$13, 100%, $E$13)</f>
        <v>6.1280999999999999</v>
      </c>
      <c r="H392" s="61">
        <f>11.2613* CHOOSE(CONTROL!$C$22, $C$13, 100%, $E$13)</f>
        <v>11.2613</v>
      </c>
      <c r="I392" s="61">
        <f>11.2615 * CHOOSE(CONTROL!$C$22, $C$13, 100%, $E$13)</f>
        <v>11.2615</v>
      </c>
      <c r="J392" s="61">
        <f>6.1279 * CHOOSE(CONTROL!$C$22, $C$13, 100%, $E$13)</f>
        <v>6.1279000000000003</v>
      </c>
      <c r="K392" s="61">
        <f>6.1281 * CHOOSE(CONTROL!$C$22, $C$13, 100%, $E$13)</f>
        <v>6.1280999999999999</v>
      </c>
    </row>
    <row r="393" spans="1:11" ht="15">
      <c r="A393" s="13">
        <v>53813</v>
      </c>
      <c r="B393" s="60">
        <f>5.4455 * CHOOSE(CONTROL!$C$22, $C$13, 100%, $E$13)</f>
        <v>5.4455</v>
      </c>
      <c r="C393" s="60">
        <f>5.4455 * CHOOSE(CONTROL!$C$22, $C$13, 100%, $E$13)</f>
        <v>5.4455</v>
      </c>
      <c r="D393" s="60">
        <f>5.4831 * CHOOSE(CONTROL!$C$22, $C$13, 100%, $E$13)</f>
        <v>5.4831000000000003</v>
      </c>
      <c r="E393" s="61">
        <f>6.1566 * CHOOSE(CONTROL!$C$22, $C$13, 100%, $E$13)</f>
        <v>6.1566000000000001</v>
      </c>
      <c r="F393" s="61">
        <f>6.1566 * CHOOSE(CONTROL!$C$22, $C$13, 100%, $E$13)</f>
        <v>6.1566000000000001</v>
      </c>
      <c r="G393" s="61">
        <f>6.159 * CHOOSE(CONTROL!$C$22, $C$13, 100%, $E$13)</f>
        <v>6.1589999999999998</v>
      </c>
      <c r="H393" s="61">
        <f>11.2848* CHOOSE(CONTROL!$C$22, $C$13, 100%, $E$13)</f>
        <v>11.284800000000001</v>
      </c>
      <c r="I393" s="61">
        <f>11.2871 * CHOOSE(CONTROL!$C$22, $C$13, 100%, $E$13)</f>
        <v>11.287100000000001</v>
      </c>
      <c r="J393" s="61">
        <f>6.1566 * CHOOSE(CONTROL!$C$22, $C$13, 100%, $E$13)</f>
        <v>6.1566000000000001</v>
      </c>
      <c r="K393" s="61">
        <f>6.159 * CHOOSE(CONTROL!$C$22, $C$13, 100%, $E$13)</f>
        <v>6.1589999999999998</v>
      </c>
    </row>
    <row r="394" spans="1:11" ht="15">
      <c r="A394" s="13">
        <v>53844</v>
      </c>
      <c r="B394" s="60">
        <f>5.4516 * CHOOSE(CONTROL!$C$22, $C$13, 100%, $E$13)</f>
        <v>5.4516</v>
      </c>
      <c r="C394" s="60">
        <f>5.4516 * CHOOSE(CONTROL!$C$22, $C$13, 100%, $E$13)</f>
        <v>5.4516</v>
      </c>
      <c r="D394" s="60">
        <f>5.4892 * CHOOSE(CONTROL!$C$22, $C$13, 100%, $E$13)</f>
        <v>5.4892000000000003</v>
      </c>
      <c r="E394" s="61">
        <f>6.1321 * CHOOSE(CONTROL!$C$22, $C$13, 100%, $E$13)</f>
        <v>6.1321000000000003</v>
      </c>
      <c r="F394" s="61">
        <f>6.1321 * CHOOSE(CONTROL!$C$22, $C$13, 100%, $E$13)</f>
        <v>6.1321000000000003</v>
      </c>
      <c r="G394" s="61">
        <f>6.1344 * CHOOSE(CONTROL!$C$22, $C$13, 100%, $E$13)</f>
        <v>6.1344000000000003</v>
      </c>
      <c r="H394" s="61">
        <f>11.3083* CHOOSE(CONTROL!$C$22, $C$13, 100%, $E$13)</f>
        <v>11.308299999999999</v>
      </c>
      <c r="I394" s="61">
        <f>11.3106 * CHOOSE(CONTROL!$C$22, $C$13, 100%, $E$13)</f>
        <v>11.310600000000001</v>
      </c>
      <c r="J394" s="61">
        <f>6.1321 * CHOOSE(CONTROL!$C$22, $C$13, 100%, $E$13)</f>
        <v>6.1321000000000003</v>
      </c>
      <c r="K394" s="61">
        <f>6.1344 * CHOOSE(CONTROL!$C$22, $C$13, 100%, $E$13)</f>
        <v>6.1344000000000003</v>
      </c>
    </row>
    <row r="395" spans="1:11" ht="15">
      <c r="A395" s="13">
        <v>53874</v>
      </c>
      <c r="B395" s="60">
        <f>5.5355 * CHOOSE(CONTROL!$C$22, $C$13, 100%, $E$13)</f>
        <v>5.5354999999999999</v>
      </c>
      <c r="C395" s="60">
        <f>5.5355 * CHOOSE(CONTROL!$C$22, $C$13, 100%, $E$13)</f>
        <v>5.5354999999999999</v>
      </c>
      <c r="D395" s="60">
        <f>5.5731 * CHOOSE(CONTROL!$C$22, $C$13, 100%, $E$13)</f>
        <v>5.5731000000000002</v>
      </c>
      <c r="E395" s="61">
        <f>6.2503 * CHOOSE(CONTROL!$C$22, $C$13, 100%, $E$13)</f>
        <v>6.2503000000000002</v>
      </c>
      <c r="F395" s="61">
        <f>6.2503 * CHOOSE(CONTROL!$C$22, $C$13, 100%, $E$13)</f>
        <v>6.2503000000000002</v>
      </c>
      <c r="G395" s="61">
        <f>6.2526 * CHOOSE(CONTROL!$C$22, $C$13, 100%, $E$13)</f>
        <v>6.2526000000000002</v>
      </c>
      <c r="H395" s="61">
        <f>11.3319* CHOOSE(CONTROL!$C$22, $C$13, 100%, $E$13)</f>
        <v>11.331899999999999</v>
      </c>
      <c r="I395" s="61">
        <f>11.3342 * CHOOSE(CONTROL!$C$22, $C$13, 100%, $E$13)</f>
        <v>11.334199999999999</v>
      </c>
      <c r="J395" s="61">
        <f>6.2503 * CHOOSE(CONTROL!$C$22, $C$13, 100%, $E$13)</f>
        <v>6.2503000000000002</v>
      </c>
      <c r="K395" s="61">
        <f>6.2526 * CHOOSE(CONTROL!$C$22, $C$13, 100%, $E$13)</f>
        <v>6.2526000000000002</v>
      </c>
    </row>
    <row r="396" spans="1:11" ht="15">
      <c r="A396" s="13">
        <v>53905</v>
      </c>
      <c r="B396" s="60">
        <f>5.5422 * CHOOSE(CONTROL!$C$22, $C$13, 100%, $E$13)</f>
        <v>5.5422000000000002</v>
      </c>
      <c r="C396" s="60">
        <f>5.5422 * CHOOSE(CONTROL!$C$22, $C$13, 100%, $E$13)</f>
        <v>5.5422000000000002</v>
      </c>
      <c r="D396" s="60">
        <f>5.5798 * CHOOSE(CONTROL!$C$22, $C$13, 100%, $E$13)</f>
        <v>5.5797999999999996</v>
      </c>
      <c r="E396" s="61">
        <f>6.1687 * CHOOSE(CONTROL!$C$22, $C$13, 100%, $E$13)</f>
        <v>6.1687000000000003</v>
      </c>
      <c r="F396" s="61">
        <f>6.1687 * CHOOSE(CONTROL!$C$22, $C$13, 100%, $E$13)</f>
        <v>6.1687000000000003</v>
      </c>
      <c r="G396" s="61">
        <f>6.171 * CHOOSE(CONTROL!$C$22, $C$13, 100%, $E$13)</f>
        <v>6.1710000000000003</v>
      </c>
      <c r="H396" s="61">
        <f>11.3555* CHOOSE(CONTROL!$C$22, $C$13, 100%, $E$13)</f>
        <v>11.355499999999999</v>
      </c>
      <c r="I396" s="61">
        <f>11.3578 * CHOOSE(CONTROL!$C$22, $C$13, 100%, $E$13)</f>
        <v>11.357799999999999</v>
      </c>
      <c r="J396" s="61">
        <f>6.1687 * CHOOSE(CONTROL!$C$22, $C$13, 100%, $E$13)</f>
        <v>6.1687000000000003</v>
      </c>
      <c r="K396" s="61">
        <f>6.171 * CHOOSE(CONTROL!$C$22, $C$13, 100%, $E$13)</f>
        <v>6.1710000000000003</v>
      </c>
    </row>
    <row r="397" spans="1:11" ht="15">
      <c r="A397" s="13">
        <v>53936</v>
      </c>
      <c r="B397" s="60">
        <f>5.5391 * CHOOSE(CONTROL!$C$22, $C$13, 100%, $E$13)</f>
        <v>5.5391000000000004</v>
      </c>
      <c r="C397" s="60">
        <f>5.5391 * CHOOSE(CONTROL!$C$22, $C$13, 100%, $E$13)</f>
        <v>5.5391000000000004</v>
      </c>
      <c r="D397" s="60">
        <f>5.5767 * CHOOSE(CONTROL!$C$22, $C$13, 100%, $E$13)</f>
        <v>5.5766999999999998</v>
      </c>
      <c r="E397" s="61">
        <f>6.157 * CHOOSE(CONTROL!$C$22, $C$13, 100%, $E$13)</f>
        <v>6.157</v>
      </c>
      <c r="F397" s="61">
        <f>6.157 * CHOOSE(CONTROL!$C$22, $C$13, 100%, $E$13)</f>
        <v>6.157</v>
      </c>
      <c r="G397" s="61">
        <f>6.1593 * CHOOSE(CONTROL!$C$22, $C$13, 100%, $E$13)</f>
        <v>6.1593</v>
      </c>
      <c r="H397" s="61">
        <f>11.3791* CHOOSE(CONTROL!$C$22, $C$13, 100%, $E$13)</f>
        <v>11.379099999999999</v>
      </c>
      <c r="I397" s="61">
        <f>11.3814 * CHOOSE(CONTROL!$C$22, $C$13, 100%, $E$13)</f>
        <v>11.381399999999999</v>
      </c>
      <c r="J397" s="61">
        <f>6.157 * CHOOSE(CONTROL!$C$22, $C$13, 100%, $E$13)</f>
        <v>6.157</v>
      </c>
      <c r="K397" s="61">
        <f>6.1593 * CHOOSE(CONTROL!$C$22, $C$13, 100%, $E$13)</f>
        <v>6.1593</v>
      </c>
    </row>
    <row r="398" spans="1:11" ht="15">
      <c r="A398" s="13">
        <v>53966</v>
      </c>
      <c r="B398" s="60">
        <f>5.5401 * CHOOSE(CONTROL!$C$22, $C$13, 100%, $E$13)</f>
        <v>5.5400999999999998</v>
      </c>
      <c r="C398" s="60">
        <f>5.5401 * CHOOSE(CONTROL!$C$22, $C$13, 100%, $E$13)</f>
        <v>5.5400999999999998</v>
      </c>
      <c r="D398" s="60">
        <f>5.5589 * CHOOSE(CONTROL!$C$22, $C$13, 100%, $E$13)</f>
        <v>5.5589000000000004</v>
      </c>
      <c r="E398" s="61">
        <f>6.1819 * CHOOSE(CONTROL!$C$22, $C$13, 100%, $E$13)</f>
        <v>6.1818999999999997</v>
      </c>
      <c r="F398" s="61">
        <f>6.1819 * CHOOSE(CONTROL!$C$22, $C$13, 100%, $E$13)</f>
        <v>6.1818999999999997</v>
      </c>
      <c r="G398" s="61">
        <f>6.1821 * CHOOSE(CONTROL!$C$22, $C$13, 100%, $E$13)</f>
        <v>6.1821000000000002</v>
      </c>
      <c r="H398" s="61">
        <f>11.4028* CHOOSE(CONTROL!$C$22, $C$13, 100%, $E$13)</f>
        <v>11.402799999999999</v>
      </c>
      <c r="I398" s="61">
        <f>11.403 * CHOOSE(CONTROL!$C$22, $C$13, 100%, $E$13)</f>
        <v>11.403</v>
      </c>
      <c r="J398" s="61">
        <f>6.1819 * CHOOSE(CONTROL!$C$22, $C$13, 100%, $E$13)</f>
        <v>6.1818999999999997</v>
      </c>
      <c r="K398" s="61">
        <f>6.1821 * CHOOSE(CONTROL!$C$22, $C$13, 100%, $E$13)</f>
        <v>6.1821000000000002</v>
      </c>
    </row>
    <row r="399" spans="1:11" ht="15">
      <c r="A399" s="13">
        <v>53997</v>
      </c>
      <c r="B399" s="60">
        <f>5.5432 * CHOOSE(CONTROL!$C$22, $C$13, 100%, $E$13)</f>
        <v>5.5431999999999997</v>
      </c>
      <c r="C399" s="60">
        <f>5.5432 * CHOOSE(CONTROL!$C$22, $C$13, 100%, $E$13)</f>
        <v>5.5431999999999997</v>
      </c>
      <c r="D399" s="60">
        <f>5.562 * CHOOSE(CONTROL!$C$22, $C$13, 100%, $E$13)</f>
        <v>5.5620000000000003</v>
      </c>
      <c r="E399" s="61">
        <f>6.2032 * CHOOSE(CONTROL!$C$22, $C$13, 100%, $E$13)</f>
        <v>6.2031999999999998</v>
      </c>
      <c r="F399" s="61">
        <f>6.2032 * CHOOSE(CONTROL!$C$22, $C$13, 100%, $E$13)</f>
        <v>6.2031999999999998</v>
      </c>
      <c r="G399" s="61">
        <f>6.2034 * CHOOSE(CONTROL!$C$22, $C$13, 100%, $E$13)</f>
        <v>6.2034000000000002</v>
      </c>
      <c r="H399" s="61">
        <f>11.4266* CHOOSE(CONTROL!$C$22, $C$13, 100%, $E$13)</f>
        <v>11.426600000000001</v>
      </c>
      <c r="I399" s="61">
        <f>11.4268 * CHOOSE(CONTROL!$C$22, $C$13, 100%, $E$13)</f>
        <v>11.4268</v>
      </c>
      <c r="J399" s="61">
        <f>6.2032 * CHOOSE(CONTROL!$C$22, $C$13, 100%, $E$13)</f>
        <v>6.2031999999999998</v>
      </c>
      <c r="K399" s="61">
        <f>6.2034 * CHOOSE(CONTROL!$C$22, $C$13, 100%, $E$13)</f>
        <v>6.2034000000000002</v>
      </c>
    </row>
    <row r="400" spans="1:11" ht="15">
      <c r="A400" s="13">
        <v>54027</v>
      </c>
      <c r="B400" s="60">
        <f>5.5432 * CHOOSE(CONTROL!$C$22, $C$13, 100%, $E$13)</f>
        <v>5.5431999999999997</v>
      </c>
      <c r="C400" s="60">
        <f>5.5432 * CHOOSE(CONTROL!$C$22, $C$13, 100%, $E$13)</f>
        <v>5.5431999999999997</v>
      </c>
      <c r="D400" s="60">
        <f>5.562 * CHOOSE(CONTROL!$C$22, $C$13, 100%, $E$13)</f>
        <v>5.5620000000000003</v>
      </c>
      <c r="E400" s="61">
        <f>6.1553 * CHOOSE(CONTROL!$C$22, $C$13, 100%, $E$13)</f>
        <v>6.1553000000000004</v>
      </c>
      <c r="F400" s="61">
        <f>6.1553 * CHOOSE(CONTROL!$C$22, $C$13, 100%, $E$13)</f>
        <v>6.1553000000000004</v>
      </c>
      <c r="G400" s="61">
        <f>6.1554 * CHOOSE(CONTROL!$C$22, $C$13, 100%, $E$13)</f>
        <v>6.1554000000000002</v>
      </c>
      <c r="H400" s="61">
        <f>11.4504* CHOOSE(CONTROL!$C$22, $C$13, 100%, $E$13)</f>
        <v>11.4504</v>
      </c>
      <c r="I400" s="61">
        <f>11.4506 * CHOOSE(CONTROL!$C$22, $C$13, 100%, $E$13)</f>
        <v>11.4506</v>
      </c>
      <c r="J400" s="61">
        <f>6.1553 * CHOOSE(CONTROL!$C$22, $C$13, 100%, $E$13)</f>
        <v>6.1553000000000004</v>
      </c>
      <c r="K400" s="61">
        <f>6.1554 * CHOOSE(CONTROL!$C$22, $C$13, 100%, $E$13)</f>
        <v>6.1554000000000002</v>
      </c>
    </row>
    <row r="401" spans="1:11" ht="15">
      <c r="A401" s="13">
        <v>54058</v>
      </c>
      <c r="B401" s="60">
        <f>5.5908 * CHOOSE(CONTROL!$C$22, $C$13, 100%, $E$13)</f>
        <v>5.5907999999999998</v>
      </c>
      <c r="C401" s="60">
        <f>5.5908 * CHOOSE(CONTROL!$C$22, $C$13, 100%, $E$13)</f>
        <v>5.5907999999999998</v>
      </c>
      <c r="D401" s="60">
        <f>5.6096 * CHOOSE(CONTROL!$C$22, $C$13, 100%, $E$13)</f>
        <v>5.6096000000000004</v>
      </c>
      <c r="E401" s="61">
        <f>6.2495 * CHOOSE(CONTROL!$C$22, $C$13, 100%, $E$13)</f>
        <v>6.2495000000000003</v>
      </c>
      <c r="F401" s="61">
        <f>6.2495 * CHOOSE(CONTROL!$C$22, $C$13, 100%, $E$13)</f>
        <v>6.2495000000000003</v>
      </c>
      <c r="G401" s="61">
        <f>6.2497 * CHOOSE(CONTROL!$C$22, $C$13, 100%, $E$13)</f>
        <v>6.2496999999999998</v>
      </c>
      <c r="H401" s="61">
        <f>11.4742* CHOOSE(CONTROL!$C$22, $C$13, 100%, $E$13)</f>
        <v>11.4742</v>
      </c>
      <c r="I401" s="61">
        <f>11.4744 * CHOOSE(CONTROL!$C$22, $C$13, 100%, $E$13)</f>
        <v>11.474399999999999</v>
      </c>
      <c r="J401" s="61">
        <f>6.2495 * CHOOSE(CONTROL!$C$22, $C$13, 100%, $E$13)</f>
        <v>6.2495000000000003</v>
      </c>
      <c r="K401" s="61">
        <f>6.2497 * CHOOSE(CONTROL!$C$22, $C$13, 100%, $E$13)</f>
        <v>6.2496999999999998</v>
      </c>
    </row>
    <row r="402" spans="1:11" ht="15">
      <c r="A402" s="13">
        <v>54089</v>
      </c>
      <c r="B402" s="60">
        <f>5.5877 * CHOOSE(CONTROL!$C$22, $C$13, 100%, $E$13)</f>
        <v>5.5876999999999999</v>
      </c>
      <c r="C402" s="60">
        <f>5.5877 * CHOOSE(CONTROL!$C$22, $C$13, 100%, $E$13)</f>
        <v>5.5876999999999999</v>
      </c>
      <c r="D402" s="60">
        <f>5.6065 * CHOOSE(CONTROL!$C$22, $C$13, 100%, $E$13)</f>
        <v>5.6064999999999996</v>
      </c>
      <c r="E402" s="61">
        <f>6.154 * CHOOSE(CONTROL!$C$22, $C$13, 100%, $E$13)</f>
        <v>6.1539999999999999</v>
      </c>
      <c r="F402" s="61">
        <f>6.154 * CHOOSE(CONTROL!$C$22, $C$13, 100%, $E$13)</f>
        <v>6.1539999999999999</v>
      </c>
      <c r="G402" s="61">
        <f>6.1541 * CHOOSE(CONTROL!$C$22, $C$13, 100%, $E$13)</f>
        <v>6.1540999999999997</v>
      </c>
      <c r="H402" s="61">
        <f>11.4981* CHOOSE(CONTROL!$C$22, $C$13, 100%, $E$13)</f>
        <v>11.498100000000001</v>
      </c>
      <c r="I402" s="61">
        <f>11.4983 * CHOOSE(CONTROL!$C$22, $C$13, 100%, $E$13)</f>
        <v>11.4983</v>
      </c>
      <c r="J402" s="61">
        <f>6.154 * CHOOSE(CONTROL!$C$22, $C$13, 100%, $E$13)</f>
        <v>6.1539999999999999</v>
      </c>
      <c r="K402" s="61">
        <f>6.1541 * CHOOSE(CONTROL!$C$22, $C$13, 100%, $E$13)</f>
        <v>6.1540999999999997</v>
      </c>
    </row>
    <row r="403" spans="1:11" ht="15">
      <c r="A403" s="13">
        <v>54118</v>
      </c>
      <c r="B403" s="60">
        <f>5.5847 * CHOOSE(CONTROL!$C$22, $C$13, 100%, $E$13)</f>
        <v>5.5846999999999998</v>
      </c>
      <c r="C403" s="60">
        <f>5.5847 * CHOOSE(CONTROL!$C$22, $C$13, 100%, $E$13)</f>
        <v>5.5846999999999998</v>
      </c>
      <c r="D403" s="60">
        <f>5.6035 * CHOOSE(CONTROL!$C$22, $C$13, 100%, $E$13)</f>
        <v>5.6035000000000004</v>
      </c>
      <c r="E403" s="61">
        <f>6.2255 * CHOOSE(CONTROL!$C$22, $C$13, 100%, $E$13)</f>
        <v>6.2255000000000003</v>
      </c>
      <c r="F403" s="61">
        <f>6.2255 * CHOOSE(CONTROL!$C$22, $C$13, 100%, $E$13)</f>
        <v>6.2255000000000003</v>
      </c>
      <c r="G403" s="61">
        <f>6.2257 * CHOOSE(CONTROL!$C$22, $C$13, 100%, $E$13)</f>
        <v>6.2256999999999998</v>
      </c>
      <c r="H403" s="61">
        <f>11.5221* CHOOSE(CONTROL!$C$22, $C$13, 100%, $E$13)</f>
        <v>11.5221</v>
      </c>
      <c r="I403" s="61">
        <f>11.5223 * CHOOSE(CONTROL!$C$22, $C$13, 100%, $E$13)</f>
        <v>11.5223</v>
      </c>
      <c r="J403" s="61">
        <f>6.2255 * CHOOSE(CONTROL!$C$22, $C$13, 100%, $E$13)</f>
        <v>6.2255000000000003</v>
      </c>
      <c r="K403" s="61">
        <f>6.2257 * CHOOSE(CONTROL!$C$22, $C$13, 100%, $E$13)</f>
        <v>6.2256999999999998</v>
      </c>
    </row>
    <row r="404" spans="1:11" ht="15">
      <c r="A404" s="13">
        <v>54149</v>
      </c>
      <c r="B404" s="60">
        <f>5.5839 * CHOOSE(CONTROL!$C$22, $C$13, 100%, $E$13)</f>
        <v>5.5838999999999999</v>
      </c>
      <c r="C404" s="60">
        <f>5.5839 * CHOOSE(CONTROL!$C$22, $C$13, 100%, $E$13)</f>
        <v>5.5838999999999999</v>
      </c>
      <c r="D404" s="60">
        <f>5.6027 * CHOOSE(CONTROL!$C$22, $C$13, 100%, $E$13)</f>
        <v>5.6026999999999996</v>
      </c>
      <c r="E404" s="61">
        <f>6.3004 * CHOOSE(CONTROL!$C$22, $C$13, 100%, $E$13)</f>
        <v>6.3003999999999998</v>
      </c>
      <c r="F404" s="61">
        <f>6.3004 * CHOOSE(CONTROL!$C$22, $C$13, 100%, $E$13)</f>
        <v>6.3003999999999998</v>
      </c>
      <c r="G404" s="61">
        <f>6.3006 * CHOOSE(CONTROL!$C$22, $C$13, 100%, $E$13)</f>
        <v>6.3006000000000002</v>
      </c>
      <c r="H404" s="61">
        <f>11.5461* CHOOSE(CONTROL!$C$22, $C$13, 100%, $E$13)</f>
        <v>11.546099999999999</v>
      </c>
      <c r="I404" s="61">
        <f>11.5463 * CHOOSE(CONTROL!$C$22, $C$13, 100%, $E$13)</f>
        <v>11.5463</v>
      </c>
      <c r="J404" s="61">
        <f>6.3004 * CHOOSE(CONTROL!$C$22, $C$13, 100%, $E$13)</f>
        <v>6.3003999999999998</v>
      </c>
      <c r="K404" s="61">
        <f>6.3006 * CHOOSE(CONTROL!$C$22, $C$13, 100%, $E$13)</f>
        <v>6.3006000000000002</v>
      </c>
    </row>
    <row r="405" spans="1:11" ht="15">
      <c r="A405" s="13">
        <v>54179</v>
      </c>
      <c r="B405" s="60">
        <f>5.5839 * CHOOSE(CONTROL!$C$22, $C$13, 100%, $E$13)</f>
        <v>5.5838999999999999</v>
      </c>
      <c r="C405" s="60">
        <f>5.5839 * CHOOSE(CONTROL!$C$22, $C$13, 100%, $E$13)</f>
        <v>5.5838999999999999</v>
      </c>
      <c r="D405" s="60">
        <f>5.6216 * CHOOSE(CONTROL!$C$22, $C$13, 100%, $E$13)</f>
        <v>5.6215999999999999</v>
      </c>
      <c r="E405" s="61">
        <f>6.33 * CHOOSE(CONTROL!$C$22, $C$13, 100%, $E$13)</f>
        <v>6.33</v>
      </c>
      <c r="F405" s="61">
        <f>6.33 * CHOOSE(CONTROL!$C$22, $C$13, 100%, $E$13)</f>
        <v>6.33</v>
      </c>
      <c r="G405" s="61">
        <f>6.3324 * CHOOSE(CONTROL!$C$22, $C$13, 100%, $E$13)</f>
        <v>6.3323999999999998</v>
      </c>
      <c r="H405" s="61">
        <f>11.5702* CHOOSE(CONTROL!$C$22, $C$13, 100%, $E$13)</f>
        <v>11.5702</v>
      </c>
      <c r="I405" s="61">
        <f>11.5725 * CHOOSE(CONTROL!$C$22, $C$13, 100%, $E$13)</f>
        <v>11.5725</v>
      </c>
      <c r="J405" s="61">
        <f>6.33 * CHOOSE(CONTROL!$C$22, $C$13, 100%, $E$13)</f>
        <v>6.33</v>
      </c>
      <c r="K405" s="61">
        <f>6.3324 * CHOOSE(CONTROL!$C$22, $C$13, 100%, $E$13)</f>
        <v>6.3323999999999998</v>
      </c>
    </row>
    <row r="406" spans="1:11" ht="15">
      <c r="A406" s="13">
        <v>54210</v>
      </c>
      <c r="B406" s="60">
        <f>5.59 * CHOOSE(CONTROL!$C$22, $C$13, 100%, $E$13)</f>
        <v>5.59</v>
      </c>
      <c r="C406" s="60">
        <f>5.59 * CHOOSE(CONTROL!$C$22, $C$13, 100%, $E$13)</f>
        <v>5.59</v>
      </c>
      <c r="D406" s="60">
        <f>5.6276 * CHOOSE(CONTROL!$C$22, $C$13, 100%, $E$13)</f>
        <v>5.6276000000000002</v>
      </c>
      <c r="E406" s="61">
        <f>6.3046 * CHOOSE(CONTROL!$C$22, $C$13, 100%, $E$13)</f>
        <v>6.3045999999999998</v>
      </c>
      <c r="F406" s="61">
        <f>6.3046 * CHOOSE(CONTROL!$C$22, $C$13, 100%, $E$13)</f>
        <v>6.3045999999999998</v>
      </c>
      <c r="G406" s="61">
        <f>6.3069 * CHOOSE(CONTROL!$C$22, $C$13, 100%, $E$13)</f>
        <v>6.3068999999999997</v>
      </c>
      <c r="H406" s="61">
        <f>11.5943* CHOOSE(CONTROL!$C$22, $C$13, 100%, $E$13)</f>
        <v>11.5943</v>
      </c>
      <c r="I406" s="61">
        <f>11.5966 * CHOOSE(CONTROL!$C$22, $C$13, 100%, $E$13)</f>
        <v>11.5966</v>
      </c>
      <c r="J406" s="61">
        <f>6.3046 * CHOOSE(CONTROL!$C$22, $C$13, 100%, $E$13)</f>
        <v>6.3045999999999998</v>
      </c>
      <c r="K406" s="61">
        <f>6.3069 * CHOOSE(CONTROL!$C$22, $C$13, 100%, $E$13)</f>
        <v>6.3068999999999997</v>
      </c>
    </row>
    <row r="407" spans="1:11" ht="15">
      <c r="A407" s="13">
        <v>54240</v>
      </c>
      <c r="B407" s="60">
        <f>5.6757 * CHOOSE(CONTROL!$C$22, $C$13, 100%, $E$13)</f>
        <v>5.6757</v>
      </c>
      <c r="C407" s="60">
        <f>5.6757 * CHOOSE(CONTROL!$C$22, $C$13, 100%, $E$13)</f>
        <v>5.6757</v>
      </c>
      <c r="D407" s="60">
        <f>5.7133 * CHOOSE(CONTROL!$C$22, $C$13, 100%, $E$13)</f>
        <v>5.7133000000000003</v>
      </c>
      <c r="E407" s="61">
        <f>6.4258 * CHOOSE(CONTROL!$C$22, $C$13, 100%, $E$13)</f>
        <v>6.4257999999999997</v>
      </c>
      <c r="F407" s="61">
        <f>6.4258 * CHOOSE(CONTROL!$C$22, $C$13, 100%, $E$13)</f>
        <v>6.4257999999999997</v>
      </c>
      <c r="G407" s="61">
        <f>6.4281 * CHOOSE(CONTROL!$C$22, $C$13, 100%, $E$13)</f>
        <v>6.4280999999999997</v>
      </c>
      <c r="H407" s="61">
        <f>11.6184* CHOOSE(CONTROL!$C$22, $C$13, 100%, $E$13)</f>
        <v>11.618399999999999</v>
      </c>
      <c r="I407" s="61">
        <f>11.6207 * CHOOSE(CONTROL!$C$22, $C$13, 100%, $E$13)</f>
        <v>11.620699999999999</v>
      </c>
      <c r="J407" s="61">
        <f>6.4258 * CHOOSE(CONTROL!$C$22, $C$13, 100%, $E$13)</f>
        <v>6.4257999999999997</v>
      </c>
      <c r="K407" s="61">
        <f>6.4281 * CHOOSE(CONTROL!$C$22, $C$13, 100%, $E$13)</f>
        <v>6.4280999999999997</v>
      </c>
    </row>
    <row r="408" spans="1:11" ht="15">
      <c r="A408" s="13">
        <v>54271</v>
      </c>
      <c r="B408" s="60">
        <f>5.6824 * CHOOSE(CONTROL!$C$22, $C$13, 100%, $E$13)</f>
        <v>5.6824000000000003</v>
      </c>
      <c r="C408" s="60">
        <f>5.6824 * CHOOSE(CONTROL!$C$22, $C$13, 100%, $E$13)</f>
        <v>5.6824000000000003</v>
      </c>
      <c r="D408" s="60">
        <f>5.72 * CHOOSE(CONTROL!$C$22, $C$13, 100%, $E$13)</f>
        <v>5.72</v>
      </c>
      <c r="E408" s="61">
        <f>6.3414 * CHOOSE(CONTROL!$C$22, $C$13, 100%, $E$13)</f>
        <v>6.3414000000000001</v>
      </c>
      <c r="F408" s="61">
        <f>6.3414 * CHOOSE(CONTROL!$C$22, $C$13, 100%, $E$13)</f>
        <v>6.3414000000000001</v>
      </c>
      <c r="G408" s="61">
        <f>6.3437 * CHOOSE(CONTROL!$C$22, $C$13, 100%, $E$13)</f>
        <v>6.3437000000000001</v>
      </c>
      <c r="H408" s="61">
        <f>11.6426* CHOOSE(CONTROL!$C$22, $C$13, 100%, $E$13)</f>
        <v>11.6426</v>
      </c>
      <c r="I408" s="61">
        <f>11.6449 * CHOOSE(CONTROL!$C$22, $C$13, 100%, $E$13)</f>
        <v>11.6449</v>
      </c>
      <c r="J408" s="61">
        <f>6.3414 * CHOOSE(CONTROL!$C$22, $C$13, 100%, $E$13)</f>
        <v>6.3414000000000001</v>
      </c>
      <c r="K408" s="61">
        <f>6.3437 * CHOOSE(CONTROL!$C$22, $C$13, 100%, $E$13)</f>
        <v>6.3437000000000001</v>
      </c>
    </row>
    <row r="409" spans="1:11" ht="15">
      <c r="A409" s="13">
        <v>54302</v>
      </c>
      <c r="B409" s="60">
        <f>5.6794 * CHOOSE(CONTROL!$C$22, $C$13, 100%, $E$13)</f>
        <v>5.6794000000000002</v>
      </c>
      <c r="C409" s="60">
        <f>5.6794 * CHOOSE(CONTROL!$C$22, $C$13, 100%, $E$13)</f>
        <v>5.6794000000000002</v>
      </c>
      <c r="D409" s="60">
        <f>5.717 * CHOOSE(CONTROL!$C$22, $C$13, 100%, $E$13)</f>
        <v>5.7169999999999996</v>
      </c>
      <c r="E409" s="61">
        <f>6.3294 * CHOOSE(CONTROL!$C$22, $C$13, 100%, $E$13)</f>
        <v>6.3293999999999997</v>
      </c>
      <c r="F409" s="61">
        <f>6.3294 * CHOOSE(CONTROL!$C$22, $C$13, 100%, $E$13)</f>
        <v>6.3293999999999997</v>
      </c>
      <c r="G409" s="61">
        <f>6.3317 * CHOOSE(CONTROL!$C$22, $C$13, 100%, $E$13)</f>
        <v>6.3316999999999997</v>
      </c>
      <c r="H409" s="61">
        <f>11.6669* CHOOSE(CONTROL!$C$22, $C$13, 100%, $E$13)</f>
        <v>11.6669</v>
      </c>
      <c r="I409" s="61">
        <f>11.6692 * CHOOSE(CONTROL!$C$22, $C$13, 100%, $E$13)</f>
        <v>11.6692</v>
      </c>
      <c r="J409" s="61">
        <f>6.3294 * CHOOSE(CONTROL!$C$22, $C$13, 100%, $E$13)</f>
        <v>6.3293999999999997</v>
      </c>
      <c r="K409" s="61">
        <f>6.3317 * CHOOSE(CONTROL!$C$22, $C$13, 100%, $E$13)</f>
        <v>6.3316999999999997</v>
      </c>
    </row>
    <row r="410" spans="1:11" ht="15">
      <c r="A410" s="13">
        <v>54332</v>
      </c>
      <c r="B410" s="60">
        <f>5.6809 * CHOOSE(CONTROL!$C$22, $C$13, 100%, $E$13)</f>
        <v>5.6809000000000003</v>
      </c>
      <c r="C410" s="60">
        <f>5.6809 * CHOOSE(CONTROL!$C$22, $C$13, 100%, $E$13)</f>
        <v>5.6809000000000003</v>
      </c>
      <c r="D410" s="60">
        <f>5.6997 * CHOOSE(CONTROL!$C$22, $C$13, 100%, $E$13)</f>
        <v>5.6997</v>
      </c>
      <c r="E410" s="61">
        <f>6.3556 * CHOOSE(CONTROL!$C$22, $C$13, 100%, $E$13)</f>
        <v>6.3555999999999999</v>
      </c>
      <c r="F410" s="61">
        <f>6.3556 * CHOOSE(CONTROL!$C$22, $C$13, 100%, $E$13)</f>
        <v>6.3555999999999999</v>
      </c>
      <c r="G410" s="61">
        <f>6.3557 * CHOOSE(CONTROL!$C$22, $C$13, 100%, $E$13)</f>
        <v>6.3556999999999997</v>
      </c>
      <c r="H410" s="61">
        <f>11.6912* CHOOSE(CONTROL!$C$22, $C$13, 100%, $E$13)</f>
        <v>11.6912</v>
      </c>
      <c r="I410" s="61">
        <f>11.6914 * CHOOSE(CONTROL!$C$22, $C$13, 100%, $E$13)</f>
        <v>11.6914</v>
      </c>
      <c r="J410" s="61">
        <f>6.3556 * CHOOSE(CONTROL!$C$22, $C$13, 100%, $E$13)</f>
        <v>6.3555999999999999</v>
      </c>
      <c r="K410" s="61">
        <f>6.3557 * CHOOSE(CONTROL!$C$22, $C$13, 100%, $E$13)</f>
        <v>6.3556999999999997</v>
      </c>
    </row>
    <row r="411" spans="1:11" ht="15">
      <c r="A411" s="13">
        <v>54363</v>
      </c>
      <c r="B411" s="60">
        <f>5.6839 * CHOOSE(CONTROL!$C$22, $C$13, 100%, $E$13)</f>
        <v>5.6839000000000004</v>
      </c>
      <c r="C411" s="60">
        <f>5.6839 * CHOOSE(CONTROL!$C$22, $C$13, 100%, $E$13)</f>
        <v>5.6839000000000004</v>
      </c>
      <c r="D411" s="60">
        <f>5.7027 * CHOOSE(CONTROL!$C$22, $C$13, 100%, $E$13)</f>
        <v>5.7027000000000001</v>
      </c>
      <c r="E411" s="61">
        <f>6.3775 * CHOOSE(CONTROL!$C$22, $C$13, 100%, $E$13)</f>
        <v>6.3775000000000004</v>
      </c>
      <c r="F411" s="61">
        <f>6.3775 * CHOOSE(CONTROL!$C$22, $C$13, 100%, $E$13)</f>
        <v>6.3775000000000004</v>
      </c>
      <c r="G411" s="61">
        <f>6.3776 * CHOOSE(CONTROL!$C$22, $C$13, 100%, $E$13)</f>
        <v>6.3776000000000002</v>
      </c>
      <c r="H411" s="61">
        <f>11.7155* CHOOSE(CONTROL!$C$22, $C$13, 100%, $E$13)</f>
        <v>11.7155</v>
      </c>
      <c r="I411" s="61">
        <f>11.7157 * CHOOSE(CONTROL!$C$22, $C$13, 100%, $E$13)</f>
        <v>11.7157</v>
      </c>
      <c r="J411" s="61">
        <f>6.3775 * CHOOSE(CONTROL!$C$22, $C$13, 100%, $E$13)</f>
        <v>6.3775000000000004</v>
      </c>
      <c r="K411" s="61">
        <f>6.3776 * CHOOSE(CONTROL!$C$22, $C$13, 100%, $E$13)</f>
        <v>6.3776000000000002</v>
      </c>
    </row>
    <row r="412" spans="1:11" ht="15">
      <c r="A412" s="13">
        <v>54393</v>
      </c>
      <c r="B412" s="60">
        <f>5.6839 * CHOOSE(CONTROL!$C$22, $C$13, 100%, $E$13)</f>
        <v>5.6839000000000004</v>
      </c>
      <c r="C412" s="60">
        <f>5.6839 * CHOOSE(CONTROL!$C$22, $C$13, 100%, $E$13)</f>
        <v>5.6839000000000004</v>
      </c>
      <c r="D412" s="60">
        <f>5.7027 * CHOOSE(CONTROL!$C$22, $C$13, 100%, $E$13)</f>
        <v>5.7027000000000001</v>
      </c>
      <c r="E412" s="61">
        <f>6.328 * CHOOSE(CONTROL!$C$22, $C$13, 100%, $E$13)</f>
        <v>6.3280000000000003</v>
      </c>
      <c r="F412" s="61">
        <f>6.328 * CHOOSE(CONTROL!$C$22, $C$13, 100%, $E$13)</f>
        <v>6.3280000000000003</v>
      </c>
      <c r="G412" s="61">
        <f>6.3282 * CHOOSE(CONTROL!$C$22, $C$13, 100%, $E$13)</f>
        <v>6.3281999999999998</v>
      </c>
      <c r="H412" s="61">
        <f>11.7399* CHOOSE(CONTROL!$C$22, $C$13, 100%, $E$13)</f>
        <v>11.7399</v>
      </c>
      <c r="I412" s="61">
        <f>11.7401 * CHOOSE(CONTROL!$C$22, $C$13, 100%, $E$13)</f>
        <v>11.7401</v>
      </c>
      <c r="J412" s="61">
        <f>6.328 * CHOOSE(CONTROL!$C$22, $C$13, 100%, $E$13)</f>
        <v>6.3280000000000003</v>
      </c>
      <c r="K412" s="61">
        <f>6.3282 * CHOOSE(CONTROL!$C$22, $C$13, 100%, $E$13)</f>
        <v>6.3281999999999998</v>
      </c>
    </row>
    <row r="413" spans="1:11" ht="15">
      <c r="A413" s="13">
        <v>54424</v>
      </c>
      <c r="B413" s="60">
        <f>5.7326 * CHOOSE(CONTROL!$C$22, $C$13, 100%, $E$13)</f>
        <v>5.7325999999999997</v>
      </c>
      <c r="C413" s="60">
        <f>5.7326 * CHOOSE(CONTROL!$C$22, $C$13, 100%, $E$13)</f>
        <v>5.7325999999999997</v>
      </c>
      <c r="D413" s="60">
        <f>5.7514 * CHOOSE(CONTROL!$C$22, $C$13, 100%, $E$13)</f>
        <v>5.7514000000000003</v>
      </c>
      <c r="E413" s="61">
        <f>6.425 * CHOOSE(CONTROL!$C$22, $C$13, 100%, $E$13)</f>
        <v>6.4249999999999998</v>
      </c>
      <c r="F413" s="61">
        <f>6.425 * CHOOSE(CONTROL!$C$22, $C$13, 100%, $E$13)</f>
        <v>6.4249999999999998</v>
      </c>
      <c r="G413" s="61">
        <f>6.4252 * CHOOSE(CONTROL!$C$22, $C$13, 100%, $E$13)</f>
        <v>6.4252000000000002</v>
      </c>
      <c r="H413" s="61">
        <f>11.7644* CHOOSE(CONTROL!$C$22, $C$13, 100%, $E$13)</f>
        <v>11.7644</v>
      </c>
      <c r="I413" s="61">
        <f>11.7646 * CHOOSE(CONTROL!$C$22, $C$13, 100%, $E$13)</f>
        <v>11.7646</v>
      </c>
      <c r="J413" s="61">
        <f>6.425 * CHOOSE(CONTROL!$C$22, $C$13, 100%, $E$13)</f>
        <v>6.4249999999999998</v>
      </c>
      <c r="K413" s="61">
        <f>6.4252 * CHOOSE(CONTROL!$C$22, $C$13, 100%, $E$13)</f>
        <v>6.4252000000000002</v>
      </c>
    </row>
    <row r="414" spans="1:11" ht="15">
      <c r="A414" s="13">
        <v>54455</v>
      </c>
      <c r="B414" s="60">
        <f>5.7296 * CHOOSE(CONTROL!$C$22, $C$13, 100%, $E$13)</f>
        <v>5.7295999999999996</v>
      </c>
      <c r="C414" s="60">
        <f>5.7296 * CHOOSE(CONTROL!$C$22, $C$13, 100%, $E$13)</f>
        <v>5.7295999999999996</v>
      </c>
      <c r="D414" s="60">
        <f>5.7484 * CHOOSE(CONTROL!$C$22, $C$13, 100%, $E$13)</f>
        <v>5.7484000000000002</v>
      </c>
      <c r="E414" s="61">
        <f>6.3265 * CHOOSE(CONTROL!$C$22, $C$13, 100%, $E$13)</f>
        <v>6.3265000000000002</v>
      </c>
      <c r="F414" s="61">
        <f>6.3265 * CHOOSE(CONTROL!$C$22, $C$13, 100%, $E$13)</f>
        <v>6.3265000000000002</v>
      </c>
      <c r="G414" s="61">
        <f>6.3266 * CHOOSE(CONTROL!$C$22, $C$13, 100%, $E$13)</f>
        <v>6.3266</v>
      </c>
      <c r="H414" s="61">
        <f>11.7889* CHOOSE(CONTROL!$C$22, $C$13, 100%, $E$13)</f>
        <v>11.7889</v>
      </c>
      <c r="I414" s="61">
        <f>11.7891 * CHOOSE(CONTROL!$C$22, $C$13, 100%, $E$13)</f>
        <v>11.789099999999999</v>
      </c>
      <c r="J414" s="61">
        <f>6.3265 * CHOOSE(CONTROL!$C$22, $C$13, 100%, $E$13)</f>
        <v>6.3265000000000002</v>
      </c>
      <c r="K414" s="61">
        <f>6.3266 * CHOOSE(CONTROL!$C$22, $C$13, 100%, $E$13)</f>
        <v>6.3266</v>
      </c>
    </row>
    <row r="415" spans="1:11" ht="15">
      <c r="A415" s="13">
        <v>54483</v>
      </c>
      <c r="B415" s="60">
        <f>5.7266 * CHOOSE(CONTROL!$C$22, $C$13, 100%, $E$13)</f>
        <v>5.7266000000000004</v>
      </c>
      <c r="C415" s="60">
        <f>5.7266 * CHOOSE(CONTROL!$C$22, $C$13, 100%, $E$13)</f>
        <v>5.7266000000000004</v>
      </c>
      <c r="D415" s="60">
        <f>5.7454 * CHOOSE(CONTROL!$C$22, $C$13, 100%, $E$13)</f>
        <v>5.7454000000000001</v>
      </c>
      <c r="E415" s="61">
        <f>6.4003 * CHOOSE(CONTROL!$C$22, $C$13, 100%, $E$13)</f>
        <v>6.4002999999999997</v>
      </c>
      <c r="F415" s="61">
        <f>6.4003 * CHOOSE(CONTROL!$C$22, $C$13, 100%, $E$13)</f>
        <v>6.4002999999999997</v>
      </c>
      <c r="G415" s="61">
        <f>6.4005 * CHOOSE(CONTROL!$C$22, $C$13, 100%, $E$13)</f>
        <v>6.4005000000000001</v>
      </c>
      <c r="H415" s="61">
        <f>11.8135* CHOOSE(CONTROL!$C$22, $C$13, 100%, $E$13)</f>
        <v>11.813499999999999</v>
      </c>
      <c r="I415" s="61">
        <f>11.8137 * CHOOSE(CONTROL!$C$22, $C$13, 100%, $E$13)</f>
        <v>11.813700000000001</v>
      </c>
      <c r="J415" s="61">
        <f>6.4003 * CHOOSE(CONTROL!$C$22, $C$13, 100%, $E$13)</f>
        <v>6.4002999999999997</v>
      </c>
      <c r="K415" s="61">
        <f>6.4005 * CHOOSE(CONTROL!$C$22, $C$13, 100%, $E$13)</f>
        <v>6.4005000000000001</v>
      </c>
    </row>
    <row r="416" spans="1:11" ht="15">
      <c r="A416" s="13">
        <v>54514</v>
      </c>
      <c r="B416" s="60">
        <f>5.7259 * CHOOSE(CONTROL!$C$22, $C$13, 100%, $E$13)</f>
        <v>5.7259000000000002</v>
      </c>
      <c r="C416" s="60">
        <f>5.7259 * CHOOSE(CONTROL!$C$22, $C$13, 100%, $E$13)</f>
        <v>5.7259000000000002</v>
      </c>
      <c r="D416" s="60">
        <f>5.7447 * CHOOSE(CONTROL!$C$22, $C$13, 100%, $E$13)</f>
        <v>5.7446999999999999</v>
      </c>
      <c r="E416" s="61">
        <f>6.4777 * CHOOSE(CONTROL!$C$22, $C$13, 100%, $E$13)</f>
        <v>6.4776999999999996</v>
      </c>
      <c r="F416" s="61">
        <f>6.4777 * CHOOSE(CONTROL!$C$22, $C$13, 100%, $E$13)</f>
        <v>6.4776999999999996</v>
      </c>
      <c r="G416" s="61">
        <f>6.4779 * CHOOSE(CONTROL!$C$22, $C$13, 100%, $E$13)</f>
        <v>6.4779</v>
      </c>
      <c r="H416" s="61">
        <f>11.8381* CHOOSE(CONTROL!$C$22, $C$13, 100%, $E$13)</f>
        <v>11.838100000000001</v>
      </c>
      <c r="I416" s="61">
        <f>11.8383 * CHOOSE(CONTROL!$C$22, $C$13, 100%, $E$13)</f>
        <v>11.8383</v>
      </c>
      <c r="J416" s="61">
        <f>6.4777 * CHOOSE(CONTROL!$C$22, $C$13, 100%, $E$13)</f>
        <v>6.4776999999999996</v>
      </c>
      <c r="K416" s="61">
        <f>6.4779 * CHOOSE(CONTROL!$C$22, $C$13, 100%, $E$13)</f>
        <v>6.4779</v>
      </c>
    </row>
    <row r="417" spans="1:11" ht="15">
      <c r="A417" s="13">
        <v>54544</v>
      </c>
      <c r="B417" s="60">
        <f>5.7259 * CHOOSE(CONTROL!$C$22, $C$13, 100%, $E$13)</f>
        <v>5.7259000000000002</v>
      </c>
      <c r="C417" s="60">
        <f>5.7259 * CHOOSE(CONTROL!$C$22, $C$13, 100%, $E$13)</f>
        <v>5.7259000000000002</v>
      </c>
      <c r="D417" s="60">
        <f>5.7636 * CHOOSE(CONTROL!$C$22, $C$13, 100%, $E$13)</f>
        <v>5.7636000000000003</v>
      </c>
      <c r="E417" s="61">
        <f>6.5083 * CHOOSE(CONTROL!$C$22, $C$13, 100%, $E$13)</f>
        <v>6.5083000000000002</v>
      </c>
      <c r="F417" s="61">
        <f>6.5083 * CHOOSE(CONTROL!$C$22, $C$13, 100%, $E$13)</f>
        <v>6.5083000000000002</v>
      </c>
      <c r="G417" s="61">
        <f>6.5106 * CHOOSE(CONTROL!$C$22, $C$13, 100%, $E$13)</f>
        <v>6.5106000000000002</v>
      </c>
      <c r="H417" s="61">
        <f>11.8627* CHOOSE(CONTROL!$C$22, $C$13, 100%, $E$13)</f>
        <v>11.8627</v>
      </c>
      <c r="I417" s="61">
        <f>11.8651 * CHOOSE(CONTROL!$C$22, $C$13, 100%, $E$13)</f>
        <v>11.8651</v>
      </c>
      <c r="J417" s="61">
        <f>6.5083 * CHOOSE(CONTROL!$C$22, $C$13, 100%, $E$13)</f>
        <v>6.5083000000000002</v>
      </c>
      <c r="K417" s="61">
        <f>6.5106 * CHOOSE(CONTROL!$C$22, $C$13, 100%, $E$13)</f>
        <v>6.5106000000000002</v>
      </c>
    </row>
    <row r="418" spans="1:11" ht="15">
      <c r="A418" s="13">
        <v>54575</v>
      </c>
      <c r="B418" s="60">
        <f>5.732 * CHOOSE(CONTROL!$C$22, $C$13, 100%, $E$13)</f>
        <v>5.7320000000000002</v>
      </c>
      <c r="C418" s="60">
        <f>5.732 * CHOOSE(CONTROL!$C$22, $C$13, 100%, $E$13)</f>
        <v>5.7320000000000002</v>
      </c>
      <c r="D418" s="60">
        <f>5.7696 * CHOOSE(CONTROL!$C$22, $C$13, 100%, $E$13)</f>
        <v>5.7695999999999996</v>
      </c>
      <c r="E418" s="61">
        <f>6.482 * CHOOSE(CONTROL!$C$22, $C$13, 100%, $E$13)</f>
        <v>6.4820000000000002</v>
      </c>
      <c r="F418" s="61">
        <f>6.482 * CHOOSE(CONTROL!$C$22, $C$13, 100%, $E$13)</f>
        <v>6.4820000000000002</v>
      </c>
      <c r="G418" s="61">
        <f>6.4843 * CHOOSE(CONTROL!$C$22, $C$13, 100%, $E$13)</f>
        <v>6.4843000000000002</v>
      </c>
      <c r="H418" s="61">
        <f>11.8875* CHOOSE(CONTROL!$C$22, $C$13, 100%, $E$13)</f>
        <v>11.887499999999999</v>
      </c>
      <c r="I418" s="61">
        <f>11.8898 * CHOOSE(CONTROL!$C$22, $C$13, 100%, $E$13)</f>
        <v>11.889799999999999</v>
      </c>
      <c r="J418" s="61">
        <f>6.482 * CHOOSE(CONTROL!$C$22, $C$13, 100%, $E$13)</f>
        <v>6.4820000000000002</v>
      </c>
      <c r="K418" s="61">
        <f>6.4843 * CHOOSE(CONTROL!$C$22, $C$13, 100%, $E$13)</f>
        <v>6.4843000000000002</v>
      </c>
    </row>
    <row r="419" spans="1:11" ht="15">
      <c r="A419" s="13">
        <v>54605</v>
      </c>
      <c r="B419" s="60">
        <f>5.8195 * CHOOSE(CONTROL!$C$22, $C$13, 100%, $E$13)</f>
        <v>5.8194999999999997</v>
      </c>
      <c r="C419" s="60">
        <f>5.8195 * CHOOSE(CONTROL!$C$22, $C$13, 100%, $E$13)</f>
        <v>5.8194999999999997</v>
      </c>
      <c r="D419" s="60">
        <f>5.8571 * CHOOSE(CONTROL!$C$22, $C$13, 100%, $E$13)</f>
        <v>5.8571</v>
      </c>
      <c r="E419" s="61">
        <f>6.6062 * CHOOSE(CONTROL!$C$22, $C$13, 100%, $E$13)</f>
        <v>6.6062000000000003</v>
      </c>
      <c r="F419" s="61">
        <f>6.6062 * CHOOSE(CONTROL!$C$22, $C$13, 100%, $E$13)</f>
        <v>6.6062000000000003</v>
      </c>
      <c r="G419" s="61">
        <f>6.6085 * CHOOSE(CONTROL!$C$22, $C$13, 100%, $E$13)</f>
        <v>6.6085000000000003</v>
      </c>
      <c r="H419" s="61">
        <f>11.9122* CHOOSE(CONTROL!$C$22, $C$13, 100%, $E$13)</f>
        <v>11.9122</v>
      </c>
      <c r="I419" s="61">
        <f>11.9145 * CHOOSE(CONTROL!$C$22, $C$13, 100%, $E$13)</f>
        <v>11.9145</v>
      </c>
      <c r="J419" s="61">
        <f>6.6062 * CHOOSE(CONTROL!$C$22, $C$13, 100%, $E$13)</f>
        <v>6.6062000000000003</v>
      </c>
      <c r="K419" s="61">
        <f>6.6085 * CHOOSE(CONTROL!$C$22, $C$13, 100%, $E$13)</f>
        <v>6.6085000000000003</v>
      </c>
    </row>
    <row r="420" spans="1:11" ht="15">
      <c r="A420" s="13">
        <v>54636</v>
      </c>
      <c r="B420" s="60">
        <f>5.8262 * CHOOSE(CONTROL!$C$22, $C$13, 100%, $E$13)</f>
        <v>5.8262</v>
      </c>
      <c r="C420" s="60">
        <f>5.8262 * CHOOSE(CONTROL!$C$22, $C$13, 100%, $E$13)</f>
        <v>5.8262</v>
      </c>
      <c r="D420" s="60">
        <f>5.8638 * CHOOSE(CONTROL!$C$22, $C$13, 100%, $E$13)</f>
        <v>5.8638000000000003</v>
      </c>
      <c r="E420" s="61">
        <f>6.519 * CHOOSE(CONTROL!$C$22, $C$13, 100%, $E$13)</f>
        <v>6.5190000000000001</v>
      </c>
      <c r="F420" s="61">
        <f>6.519 * CHOOSE(CONTROL!$C$22, $C$13, 100%, $E$13)</f>
        <v>6.5190000000000001</v>
      </c>
      <c r="G420" s="61">
        <f>6.5214 * CHOOSE(CONTROL!$C$22, $C$13, 100%, $E$13)</f>
        <v>6.5213999999999999</v>
      </c>
      <c r="H420" s="61">
        <f>11.937* CHOOSE(CONTROL!$C$22, $C$13, 100%, $E$13)</f>
        <v>11.936999999999999</v>
      </c>
      <c r="I420" s="61">
        <f>11.9394 * CHOOSE(CONTROL!$C$22, $C$13, 100%, $E$13)</f>
        <v>11.939399999999999</v>
      </c>
      <c r="J420" s="61">
        <f>6.519 * CHOOSE(CONTROL!$C$22, $C$13, 100%, $E$13)</f>
        <v>6.5190000000000001</v>
      </c>
      <c r="K420" s="61">
        <f>6.5214 * CHOOSE(CONTROL!$C$22, $C$13, 100%, $E$13)</f>
        <v>6.5213999999999999</v>
      </c>
    </row>
    <row r="421" spans="1:11" ht="15">
      <c r="A421" s="13">
        <v>54667</v>
      </c>
      <c r="B421" s="60">
        <f>5.8232 * CHOOSE(CONTROL!$C$22, $C$13, 100%, $E$13)</f>
        <v>5.8231999999999999</v>
      </c>
      <c r="C421" s="60">
        <f>5.8232 * CHOOSE(CONTROL!$C$22, $C$13, 100%, $E$13)</f>
        <v>5.8231999999999999</v>
      </c>
      <c r="D421" s="60">
        <f>5.8608 * CHOOSE(CONTROL!$C$22, $C$13, 100%, $E$13)</f>
        <v>5.8608000000000002</v>
      </c>
      <c r="E421" s="61">
        <f>6.5067 * CHOOSE(CONTROL!$C$22, $C$13, 100%, $E$13)</f>
        <v>6.5067000000000004</v>
      </c>
      <c r="F421" s="61">
        <f>6.5067 * CHOOSE(CONTROL!$C$22, $C$13, 100%, $E$13)</f>
        <v>6.5067000000000004</v>
      </c>
      <c r="G421" s="61">
        <f>6.509 * CHOOSE(CONTROL!$C$22, $C$13, 100%, $E$13)</f>
        <v>6.5090000000000003</v>
      </c>
      <c r="H421" s="61">
        <f>11.9619* CHOOSE(CONTROL!$C$22, $C$13, 100%, $E$13)</f>
        <v>11.9619</v>
      </c>
      <c r="I421" s="61">
        <f>11.9642 * CHOOSE(CONTROL!$C$22, $C$13, 100%, $E$13)</f>
        <v>11.9642</v>
      </c>
      <c r="J421" s="61">
        <f>6.5067 * CHOOSE(CONTROL!$C$22, $C$13, 100%, $E$13)</f>
        <v>6.5067000000000004</v>
      </c>
      <c r="K421" s="61">
        <f>6.509 * CHOOSE(CONTROL!$C$22, $C$13, 100%, $E$13)</f>
        <v>6.5090000000000003</v>
      </c>
    </row>
    <row r="422" spans="1:11" ht="15">
      <c r="A422" s="13">
        <v>54697</v>
      </c>
      <c r="B422" s="60">
        <f>5.8252 * CHOOSE(CONTROL!$C$22, $C$13, 100%, $E$13)</f>
        <v>5.8251999999999997</v>
      </c>
      <c r="C422" s="60">
        <f>5.8252 * CHOOSE(CONTROL!$C$22, $C$13, 100%, $E$13)</f>
        <v>5.8251999999999997</v>
      </c>
      <c r="D422" s="60">
        <f>5.844 * CHOOSE(CONTROL!$C$22, $C$13, 100%, $E$13)</f>
        <v>5.8440000000000003</v>
      </c>
      <c r="E422" s="61">
        <f>6.5341 * CHOOSE(CONTROL!$C$22, $C$13, 100%, $E$13)</f>
        <v>6.5340999999999996</v>
      </c>
      <c r="F422" s="61">
        <f>6.5341 * CHOOSE(CONTROL!$C$22, $C$13, 100%, $E$13)</f>
        <v>6.5340999999999996</v>
      </c>
      <c r="G422" s="61">
        <f>6.5343 * CHOOSE(CONTROL!$C$22, $C$13, 100%, $E$13)</f>
        <v>6.5343</v>
      </c>
      <c r="H422" s="61">
        <f>11.9868* CHOOSE(CONTROL!$C$22, $C$13, 100%, $E$13)</f>
        <v>11.986800000000001</v>
      </c>
      <c r="I422" s="61">
        <f>11.987 * CHOOSE(CONTROL!$C$22, $C$13, 100%, $E$13)</f>
        <v>11.987</v>
      </c>
      <c r="J422" s="61">
        <f>6.5341 * CHOOSE(CONTROL!$C$22, $C$13, 100%, $E$13)</f>
        <v>6.5340999999999996</v>
      </c>
      <c r="K422" s="61">
        <f>6.5343 * CHOOSE(CONTROL!$C$22, $C$13, 100%, $E$13)</f>
        <v>6.5343</v>
      </c>
    </row>
    <row r="423" spans="1:11" ht="15">
      <c r="A423" s="13">
        <v>54728</v>
      </c>
      <c r="B423" s="60">
        <f>5.8283 * CHOOSE(CONTROL!$C$22, $C$13, 100%, $E$13)</f>
        <v>5.8282999999999996</v>
      </c>
      <c r="C423" s="60">
        <f>5.8283 * CHOOSE(CONTROL!$C$22, $C$13, 100%, $E$13)</f>
        <v>5.8282999999999996</v>
      </c>
      <c r="D423" s="60">
        <f>5.8471 * CHOOSE(CONTROL!$C$22, $C$13, 100%, $E$13)</f>
        <v>5.8471000000000002</v>
      </c>
      <c r="E423" s="61">
        <f>6.5566 * CHOOSE(CONTROL!$C$22, $C$13, 100%, $E$13)</f>
        <v>6.5566000000000004</v>
      </c>
      <c r="F423" s="61">
        <f>6.5566 * CHOOSE(CONTROL!$C$22, $C$13, 100%, $E$13)</f>
        <v>6.5566000000000004</v>
      </c>
      <c r="G423" s="61">
        <f>6.5568 * CHOOSE(CONTROL!$C$22, $C$13, 100%, $E$13)</f>
        <v>6.5568</v>
      </c>
      <c r="H423" s="61">
        <f>12.0118* CHOOSE(CONTROL!$C$22, $C$13, 100%, $E$13)</f>
        <v>12.011799999999999</v>
      </c>
      <c r="I423" s="61">
        <f>12.012 * CHOOSE(CONTROL!$C$22, $C$13, 100%, $E$13)</f>
        <v>12.012</v>
      </c>
      <c r="J423" s="61">
        <f>6.5566 * CHOOSE(CONTROL!$C$22, $C$13, 100%, $E$13)</f>
        <v>6.5566000000000004</v>
      </c>
      <c r="K423" s="61">
        <f>6.5568 * CHOOSE(CONTROL!$C$22, $C$13, 100%, $E$13)</f>
        <v>6.5568</v>
      </c>
    </row>
    <row r="424" spans="1:11" ht="15">
      <c r="A424" s="13">
        <v>54758</v>
      </c>
      <c r="B424" s="60">
        <f>5.8283 * CHOOSE(CONTROL!$C$22, $C$13, 100%, $E$13)</f>
        <v>5.8282999999999996</v>
      </c>
      <c r="C424" s="60">
        <f>5.8283 * CHOOSE(CONTROL!$C$22, $C$13, 100%, $E$13)</f>
        <v>5.8282999999999996</v>
      </c>
      <c r="D424" s="60">
        <f>5.8471 * CHOOSE(CONTROL!$C$22, $C$13, 100%, $E$13)</f>
        <v>5.8471000000000002</v>
      </c>
      <c r="E424" s="61">
        <f>6.5056 * CHOOSE(CONTROL!$C$22, $C$13, 100%, $E$13)</f>
        <v>6.5056000000000003</v>
      </c>
      <c r="F424" s="61">
        <f>6.5056 * CHOOSE(CONTROL!$C$22, $C$13, 100%, $E$13)</f>
        <v>6.5056000000000003</v>
      </c>
      <c r="G424" s="61">
        <f>6.5058 * CHOOSE(CONTROL!$C$22, $C$13, 100%, $E$13)</f>
        <v>6.5057999999999998</v>
      </c>
      <c r="H424" s="61">
        <f>12.0368* CHOOSE(CONTROL!$C$22, $C$13, 100%, $E$13)</f>
        <v>12.036799999999999</v>
      </c>
      <c r="I424" s="61">
        <f>12.037 * CHOOSE(CONTROL!$C$22, $C$13, 100%, $E$13)</f>
        <v>12.037000000000001</v>
      </c>
      <c r="J424" s="61">
        <f>6.5056 * CHOOSE(CONTROL!$C$22, $C$13, 100%, $E$13)</f>
        <v>6.5056000000000003</v>
      </c>
      <c r="K424" s="61">
        <f>6.5058 * CHOOSE(CONTROL!$C$22, $C$13, 100%, $E$13)</f>
        <v>6.5057999999999998</v>
      </c>
    </row>
    <row r="425" spans="1:11" ht="15">
      <c r="A425" s="13">
        <v>54789</v>
      </c>
      <c r="B425" s="60">
        <f>5.8781 * CHOOSE(CONTROL!$C$22, $C$13, 100%, $E$13)</f>
        <v>5.8780999999999999</v>
      </c>
      <c r="C425" s="60">
        <f>5.8781 * CHOOSE(CONTROL!$C$22, $C$13, 100%, $E$13)</f>
        <v>5.8780999999999999</v>
      </c>
      <c r="D425" s="60">
        <f>5.8969 * CHOOSE(CONTROL!$C$22, $C$13, 100%, $E$13)</f>
        <v>5.8968999999999996</v>
      </c>
      <c r="E425" s="61">
        <f>6.6054 * CHOOSE(CONTROL!$C$22, $C$13, 100%, $E$13)</f>
        <v>6.6054000000000004</v>
      </c>
      <c r="F425" s="61">
        <f>6.6054 * CHOOSE(CONTROL!$C$22, $C$13, 100%, $E$13)</f>
        <v>6.6054000000000004</v>
      </c>
      <c r="G425" s="61">
        <f>6.6056 * CHOOSE(CONTROL!$C$22, $C$13, 100%, $E$13)</f>
        <v>6.6055999999999999</v>
      </c>
      <c r="H425" s="61">
        <f>12.0619* CHOOSE(CONTROL!$C$22, $C$13, 100%, $E$13)</f>
        <v>12.0619</v>
      </c>
      <c r="I425" s="61">
        <f>12.0621 * CHOOSE(CONTROL!$C$22, $C$13, 100%, $E$13)</f>
        <v>12.062099999999999</v>
      </c>
      <c r="J425" s="61">
        <f>6.6054 * CHOOSE(CONTROL!$C$22, $C$13, 100%, $E$13)</f>
        <v>6.6054000000000004</v>
      </c>
      <c r="K425" s="61">
        <f>6.6056 * CHOOSE(CONTROL!$C$22, $C$13, 100%, $E$13)</f>
        <v>6.6055999999999999</v>
      </c>
    </row>
    <row r="426" spans="1:11" ht="15">
      <c r="A426" s="13">
        <v>54820</v>
      </c>
      <c r="B426" s="60">
        <f>5.875 * CHOOSE(CONTROL!$C$22, $C$13, 100%, $E$13)</f>
        <v>5.875</v>
      </c>
      <c r="C426" s="60">
        <f>5.875 * CHOOSE(CONTROL!$C$22, $C$13, 100%, $E$13)</f>
        <v>5.875</v>
      </c>
      <c r="D426" s="60">
        <f>5.8939 * CHOOSE(CONTROL!$C$22, $C$13, 100%, $E$13)</f>
        <v>5.8939000000000004</v>
      </c>
      <c r="E426" s="61">
        <f>6.5038 * CHOOSE(CONTROL!$C$22, $C$13, 100%, $E$13)</f>
        <v>6.5038</v>
      </c>
      <c r="F426" s="61">
        <f>6.5038 * CHOOSE(CONTROL!$C$22, $C$13, 100%, $E$13)</f>
        <v>6.5038</v>
      </c>
      <c r="G426" s="61">
        <f>6.504 * CHOOSE(CONTROL!$C$22, $C$13, 100%, $E$13)</f>
        <v>6.5039999999999996</v>
      </c>
      <c r="H426" s="61">
        <f>12.087* CHOOSE(CONTROL!$C$22, $C$13, 100%, $E$13)</f>
        <v>12.087</v>
      </c>
      <c r="I426" s="61">
        <f>12.0872 * CHOOSE(CONTROL!$C$22, $C$13, 100%, $E$13)</f>
        <v>12.087199999999999</v>
      </c>
      <c r="J426" s="61">
        <f>6.5038 * CHOOSE(CONTROL!$C$22, $C$13, 100%, $E$13)</f>
        <v>6.5038</v>
      </c>
      <c r="K426" s="61">
        <f>6.504 * CHOOSE(CONTROL!$C$22, $C$13, 100%, $E$13)</f>
        <v>6.5039999999999996</v>
      </c>
    </row>
    <row r="427" spans="1:11" ht="15">
      <c r="A427" s="13">
        <v>54848</v>
      </c>
      <c r="B427" s="60">
        <f>5.872 * CHOOSE(CONTROL!$C$22, $C$13, 100%, $E$13)</f>
        <v>5.8719999999999999</v>
      </c>
      <c r="C427" s="60">
        <f>5.872 * CHOOSE(CONTROL!$C$22, $C$13, 100%, $E$13)</f>
        <v>5.8719999999999999</v>
      </c>
      <c r="D427" s="60">
        <f>5.8908 * CHOOSE(CONTROL!$C$22, $C$13, 100%, $E$13)</f>
        <v>5.8907999999999996</v>
      </c>
      <c r="E427" s="61">
        <f>6.5801 * CHOOSE(CONTROL!$C$22, $C$13, 100%, $E$13)</f>
        <v>6.5800999999999998</v>
      </c>
      <c r="F427" s="61">
        <f>6.5801 * CHOOSE(CONTROL!$C$22, $C$13, 100%, $E$13)</f>
        <v>6.5800999999999998</v>
      </c>
      <c r="G427" s="61">
        <f>6.5803 * CHOOSE(CONTROL!$C$22, $C$13, 100%, $E$13)</f>
        <v>6.5803000000000003</v>
      </c>
      <c r="H427" s="61">
        <f>12.1122* CHOOSE(CONTROL!$C$22, $C$13, 100%, $E$13)</f>
        <v>12.1122</v>
      </c>
      <c r="I427" s="61">
        <f>12.1124 * CHOOSE(CONTROL!$C$22, $C$13, 100%, $E$13)</f>
        <v>12.112399999999999</v>
      </c>
      <c r="J427" s="61">
        <f>6.5801 * CHOOSE(CONTROL!$C$22, $C$13, 100%, $E$13)</f>
        <v>6.5800999999999998</v>
      </c>
      <c r="K427" s="61">
        <f>6.5803 * CHOOSE(CONTROL!$C$22, $C$13, 100%, $E$13)</f>
        <v>6.5803000000000003</v>
      </c>
    </row>
    <row r="428" spans="1:11" ht="15">
      <c r="A428" s="13">
        <v>54879</v>
      </c>
      <c r="B428" s="60">
        <f>5.8715 * CHOOSE(CONTROL!$C$22, $C$13, 100%, $E$13)</f>
        <v>5.8715000000000002</v>
      </c>
      <c r="C428" s="60">
        <f>5.8715 * CHOOSE(CONTROL!$C$22, $C$13, 100%, $E$13)</f>
        <v>5.8715000000000002</v>
      </c>
      <c r="D428" s="60">
        <f>5.8903 * CHOOSE(CONTROL!$C$22, $C$13, 100%, $E$13)</f>
        <v>5.8902999999999999</v>
      </c>
      <c r="E428" s="61">
        <f>6.6601 * CHOOSE(CONTROL!$C$22, $C$13, 100%, $E$13)</f>
        <v>6.6600999999999999</v>
      </c>
      <c r="F428" s="61">
        <f>6.6601 * CHOOSE(CONTROL!$C$22, $C$13, 100%, $E$13)</f>
        <v>6.6600999999999999</v>
      </c>
      <c r="G428" s="61">
        <f>6.6602 * CHOOSE(CONTROL!$C$22, $C$13, 100%, $E$13)</f>
        <v>6.6601999999999997</v>
      </c>
      <c r="H428" s="61">
        <f>12.1375* CHOOSE(CONTROL!$C$22, $C$13, 100%, $E$13)</f>
        <v>12.137499999999999</v>
      </c>
      <c r="I428" s="61">
        <f>12.1376 * CHOOSE(CONTROL!$C$22, $C$13, 100%, $E$13)</f>
        <v>12.137600000000001</v>
      </c>
      <c r="J428" s="61">
        <f>6.6601 * CHOOSE(CONTROL!$C$22, $C$13, 100%, $E$13)</f>
        <v>6.6600999999999999</v>
      </c>
      <c r="K428" s="61">
        <f>6.6602 * CHOOSE(CONTROL!$C$22, $C$13, 100%, $E$13)</f>
        <v>6.6601999999999997</v>
      </c>
    </row>
    <row r="429" spans="1:11" ht="15">
      <c r="A429" s="13">
        <v>54909</v>
      </c>
      <c r="B429" s="60">
        <f>5.8715 * CHOOSE(CONTROL!$C$22, $C$13, 100%, $E$13)</f>
        <v>5.8715000000000002</v>
      </c>
      <c r="C429" s="60">
        <f>5.8715 * CHOOSE(CONTROL!$C$22, $C$13, 100%, $E$13)</f>
        <v>5.8715000000000002</v>
      </c>
      <c r="D429" s="60">
        <f>5.9092 * CHOOSE(CONTROL!$C$22, $C$13, 100%, $E$13)</f>
        <v>5.9092000000000002</v>
      </c>
      <c r="E429" s="61">
        <f>6.6917 * CHOOSE(CONTROL!$C$22, $C$13, 100%, $E$13)</f>
        <v>6.6917</v>
      </c>
      <c r="F429" s="61">
        <f>6.6917 * CHOOSE(CONTROL!$C$22, $C$13, 100%, $E$13)</f>
        <v>6.6917</v>
      </c>
      <c r="G429" s="61">
        <f>6.694 * CHOOSE(CONTROL!$C$22, $C$13, 100%, $E$13)</f>
        <v>6.694</v>
      </c>
      <c r="H429" s="61">
        <f>12.1627* CHOOSE(CONTROL!$C$22, $C$13, 100%, $E$13)</f>
        <v>12.162699999999999</v>
      </c>
      <c r="I429" s="61">
        <f>12.1651 * CHOOSE(CONTROL!$C$22, $C$13, 100%, $E$13)</f>
        <v>12.165100000000001</v>
      </c>
      <c r="J429" s="61">
        <f>6.6917 * CHOOSE(CONTROL!$C$22, $C$13, 100%, $E$13)</f>
        <v>6.6917</v>
      </c>
      <c r="K429" s="61">
        <f>6.694 * CHOOSE(CONTROL!$C$22, $C$13, 100%, $E$13)</f>
        <v>6.694</v>
      </c>
    </row>
    <row r="430" spans="1:11" ht="15">
      <c r="A430" s="13">
        <v>54940</v>
      </c>
      <c r="B430" s="60">
        <f>5.8776 * CHOOSE(CONTROL!$C$22, $C$13, 100%, $E$13)</f>
        <v>5.8776000000000002</v>
      </c>
      <c r="C430" s="60">
        <f>5.8776 * CHOOSE(CONTROL!$C$22, $C$13, 100%, $E$13)</f>
        <v>5.8776000000000002</v>
      </c>
      <c r="D430" s="60">
        <f>5.9152 * CHOOSE(CONTROL!$C$22, $C$13, 100%, $E$13)</f>
        <v>5.9151999999999996</v>
      </c>
      <c r="E430" s="61">
        <f>6.6643 * CHOOSE(CONTROL!$C$22, $C$13, 100%, $E$13)</f>
        <v>6.6642999999999999</v>
      </c>
      <c r="F430" s="61">
        <f>6.6643 * CHOOSE(CONTROL!$C$22, $C$13, 100%, $E$13)</f>
        <v>6.6642999999999999</v>
      </c>
      <c r="G430" s="61">
        <f>6.6666 * CHOOSE(CONTROL!$C$22, $C$13, 100%, $E$13)</f>
        <v>6.6665999999999999</v>
      </c>
      <c r="H430" s="61">
        <f>12.1881* CHOOSE(CONTROL!$C$22, $C$13, 100%, $E$13)</f>
        <v>12.1881</v>
      </c>
      <c r="I430" s="61">
        <f>12.1904 * CHOOSE(CONTROL!$C$22, $C$13, 100%, $E$13)</f>
        <v>12.1904</v>
      </c>
      <c r="J430" s="61">
        <f>6.6643 * CHOOSE(CONTROL!$C$22, $C$13, 100%, $E$13)</f>
        <v>6.6642999999999999</v>
      </c>
      <c r="K430" s="61">
        <f>6.6666 * CHOOSE(CONTROL!$C$22, $C$13, 100%, $E$13)</f>
        <v>6.6665999999999999</v>
      </c>
    </row>
    <row r="431" spans="1:11" ht="15">
      <c r="A431" s="13">
        <v>54970</v>
      </c>
      <c r="B431" s="60">
        <f>5.967 * CHOOSE(CONTROL!$C$22, $C$13, 100%, $E$13)</f>
        <v>5.9669999999999996</v>
      </c>
      <c r="C431" s="60">
        <f>5.967 * CHOOSE(CONTROL!$C$22, $C$13, 100%, $E$13)</f>
        <v>5.9669999999999996</v>
      </c>
      <c r="D431" s="60">
        <f>6.0046 * CHOOSE(CONTROL!$C$22, $C$13, 100%, $E$13)</f>
        <v>6.0045999999999999</v>
      </c>
      <c r="E431" s="61">
        <f>6.7917 * CHOOSE(CONTROL!$C$22, $C$13, 100%, $E$13)</f>
        <v>6.7916999999999996</v>
      </c>
      <c r="F431" s="61">
        <f>6.7917 * CHOOSE(CONTROL!$C$22, $C$13, 100%, $E$13)</f>
        <v>6.7916999999999996</v>
      </c>
      <c r="G431" s="61">
        <f>6.7941 * CHOOSE(CONTROL!$C$22, $C$13, 100%, $E$13)</f>
        <v>6.7941000000000003</v>
      </c>
      <c r="H431" s="61">
        <f>12.2135* CHOOSE(CONTROL!$C$22, $C$13, 100%, $E$13)</f>
        <v>12.2135</v>
      </c>
      <c r="I431" s="61">
        <f>12.2158 * CHOOSE(CONTROL!$C$22, $C$13, 100%, $E$13)</f>
        <v>12.2158</v>
      </c>
      <c r="J431" s="61">
        <f>6.7917 * CHOOSE(CONTROL!$C$22, $C$13, 100%, $E$13)</f>
        <v>6.7916999999999996</v>
      </c>
      <c r="K431" s="61">
        <f>6.7941 * CHOOSE(CONTROL!$C$22, $C$13, 100%, $E$13)</f>
        <v>6.7941000000000003</v>
      </c>
    </row>
    <row r="432" spans="1:11" ht="15">
      <c r="A432" s="13">
        <v>55001</v>
      </c>
      <c r="B432" s="60">
        <f>5.9737 * CHOOSE(CONTROL!$C$22, $C$13, 100%, $E$13)</f>
        <v>5.9737</v>
      </c>
      <c r="C432" s="60">
        <f>5.9737 * CHOOSE(CONTROL!$C$22, $C$13, 100%, $E$13)</f>
        <v>5.9737</v>
      </c>
      <c r="D432" s="60">
        <f>6.0113 * CHOOSE(CONTROL!$C$22, $C$13, 100%, $E$13)</f>
        <v>6.0113000000000003</v>
      </c>
      <c r="E432" s="61">
        <f>6.7017 * CHOOSE(CONTROL!$C$22, $C$13, 100%, $E$13)</f>
        <v>6.7016999999999998</v>
      </c>
      <c r="F432" s="61">
        <f>6.7017 * CHOOSE(CONTROL!$C$22, $C$13, 100%, $E$13)</f>
        <v>6.7016999999999998</v>
      </c>
      <c r="G432" s="61">
        <f>6.704 * CHOOSE(CONTROL!$C$22, $C$13, 100%, $E$13)</f>
        <v>6.7039999999999997</v>
      </c>
      <c r="H432" s="61">
        <f>12.2389* CHOOSE(CONTROL!$C$22, $C$13, 100%, $E$13)</f>
        <v>12.238899999999999</v>
      </c>
      <c r="I432" s="61">
        <f>12.2412 * CHOOSE(CONTROL!$C$22, $C$13, 100%, $E$13)</f>
        <v>12.241199999999999</v>
      </c>
      <c r="J432" s="61">
        <f>6.7017 * CHOOSE(CONTROL!$C$22, $C$13, 100%, $E$13)</f>
        <v>6.7016999999999998</v>
      </c>
      <c r="K432" s="61">
        <f>6.704 * CHOOSE(CONTROL!$C$22, $C$13, 100%, $E$13)</f>
        <v>6.7039999999999997</v>
      </c>
    </row>
    <row r="433" spans="1:11" ht="15">
      <c r="A433" s="13">
        <v>55032</v>
      </c>
      <c r="B433" s="60">
        <f>5.9706 * CHOOSE(CONTROL!$C$22, $C$13, 100%, $E$13)</f>
        <v>5.9706000000000001</v>
      </c>
      <c r="C433" s="60">
        <f>5.9706 * CHOOSE(CONTROL!$C$22, $C$13, 100%, $E$13)</f>
        <v>5.9706000000000001</v>
      </c>
      <c r="D433" s="60">
        <f>6.0082 * CHOOSE(CONTROL!$C$22, $C$13, 100%, $E$13)</f>
        <v>6.0082000000000004</v>
      </c>
      <c r="E433" s="61">
        <f>6.689 * CHOOSE(CONTROL!$C$22, $C$13, 100%, $E$13)</f>
        <v>6.6890000000000001</v>
      </c>
      <c r="F433" s="61">
        <f>6.689 * CHOOSE(CONTROL!$C$22, $C$13, 100%, $E$13)</f>
        <v>6.6890000000000001</v>
      </c>
      <c r="G433" s="61">
        <f>6.6913 * CHOOSE(CONTROL!$C$22, $C$13, 100%, $E$13)</f>
        <v>6.6913</v>
      </c>
      <c r="H433" s="61">
        <f>12.2644* CHOOSE(CONTROL!$C$22, $C$13, 100%, $E$13)</f>
        <v>12.2644</v>
      </c>
      <c r="I433" s="61">
        <f>12.2667 * CHOOSE(CONTROL!$C$22, $C$13, 100%, $E$13)</f>
        <v>12.2667</v>
      </c>
      <c r="J433" s="61">
        <f>6.689 * CHOOSE(CONTROL!$C$22, $C$13, 100%, $E$13)</f>
        <v>6.6890000000000001</v>
      </c>
      <c r="K433" s="61">
        <f>6.6913 * CHOOSE(CONTROL!$C$22, $C$13, 100%, $E$13)</f>
        <v>6.6913</v>
      </c>
    </row>
    <row r="434" spans="1:11" ht="15">
      <c r="A434" s="13">
        <v>55062</v>
      </c>
      <c r="B434" s="60">
        <f>5.9732 * CHOOSE(CONTROL!$C$22, $C$13, 100%, $E$13)</f>
        <v>5.9732000000000003</v>
      </c>
      <c r="C434" s="60">
        <f>5.9732 * CHOOSE(CONTROL!$C$22, $C$13, 100%, $E$13)</f>
        <v>5.9732000000000003</v>
      </c>
      <c r="D434" s="60">
        <f>5.9921 * CHOOSE(CONTROL!$C$22, $C$13, 100%, $E$13)</f>
        <v>5.9920999999999998</v>
      </c>
      <c r="E434" s="61">
        <f>6.7177 * CHOOSE(CONTROL!$C$22, $C$13, 100%, $E$13)</f>
        <v>6.7176999999999998</v>
      </c>
      <c r="F434" s="61">
        <f>6.7177 * CHOOSE(CONTROL!$C$22, $C$13, 100%, $E$13)</f>
        <v>6.7176999999999998</v>
      </c>
      <c r="G434" s="61">
        <f>6.7179 * CHOOSE(CONTROL!$C$22, $C$13, 100%, $E$13)</f>
        <v>6.7179000000000002</v>
      </c>
      <c r="H434" s="61">
        <f>12.29* CHOOSE(CONTROL!$C$22, $C$13, 100%, $E$13)</f>
        <v>12.29</v>
      </c>
      <c r="I434" s="61">
        <f>12.2901 * CHOOSE(CONTROL!$C$22, $C$13, 100%, $E$13)</f>
        <v>12.290100000000001</v>
      </c>
      <c r="J434" s="61">
        <f>6.7177 * CHOOSE(CONTROL!$C$22, $C$13, 100%, $E$13)</f>
        <v>6.7176999999999998</v>
      </c>
      <c r="K434" s="61">
        <f>6.7179 * CHOOSE(CONTROL!$C$22, $C$13, 100%, $E$13)</f>
        <v>6.7179000000000002</v>
      </c>
    </row>
    <row r="435" spans="1:11" ht="15">
      <c r="A435" s="13">
        <v>55093</v>
      </c>
      <c r="B435" s="60">
        <f>5.9763 * CHOOSE(CONTROL!$C$22, $C$13, 100%, $E$13)</f>
        <v>5.9763000000000002</v>
      </c>
      <c r="C435" s="60">
        <f>5.9763 * CHOOSE(CONTROL!$C$22, $C$13, 100%, $E$13)</f>
        <v>5.9763000000000002</v>
      </c>
      <c r="D435" s="60">
        <f>5.9951 * CHOOSE(CONTROL!$C$22, $C$13, 100%, $E$13)</f>
        <v>5.9950999999999999</v>
      </c>
      <c r="E435" s="61">
        <f>6.7409 * CHOOSE(CONTROL!$C$22, $C$13, 100%, $E$13)</f>
        <v>6.7408999999999999</v>
      </c>
      <c r="F435" s="61">
        <f>6.7409 * CHOOSE(CONTROL!$C$22, $C$13, 100%, $E$13)</f>
        <v>6.7408999999999999</v>
      </c>
      <c r="G435" s="61">
        <f>6.741 * CHOOSE(CONTROL!$C$22, $C$13, 100%, $E$13)</f>
        <v>6.7409999999999997</v>
      </c>
      <c r="H435" s="61">
        <f>12.3156* CHOOSE(CONTROL!$C$22, $C$13, 100%, $E$13)</f>
        <v>12.3156</v>
      </c>
      <c r="I435" s="61">
        <f>12.3157 * CHOOSE(CONTROL!$C$22, $C$13, 100%, $E$13)</f>
        <v>12.3157</v>
      </c>
      <c r="J435" s="61">
        <f>6.7409 * CHOOSE(CONTROL!$C$22, $C$13, 100%, $E$13)</f>
        <v>6.7408999999999999</v>
      </c>
      <c r="K435" s="61">
        <f>6.741 * CHOOSE(CONTROL!$C$22, $C$13, 100%, $E$13)</f>
        <v>6.7409999999999997</v>
      </c>
    </row>
    <row r="436" spans="1:11" ht="15">
      <c r="A436" s="13">
        <v>55123</v>
      </c>
      <c r="B436" s="60">
        <f>5.9763 * CHOOSE(CONTROL!$C$22, $C$13, 100%, $E$13)</f>
        <v>5.9763000000000002</v>
      </c>
      <c r="C436" s="60">
        <f>5.9763 * CHOOSE(CONTROL!$C$22, $C$13, 100%, $E$13)</f>
        <v>5.9763000000000002</v>
      </c>
      <c r="D436" s="60">
        <f>5.9951 * CHOOSE(CONTROL!$C$22, $C$13, 100%, $E$13)</f>
        <v>5.9950999999999999</v>
      </c>
      <c r="E436" s="61">
        <f>6.6882 * CHOOSE(CONTROL!$C$22, $C$13, 100%, $E$13)</f>
        <v>6.6882000000000001</v>
      </c>
      <c r="F436" s="61">
        <f>6.6882 * CHOOSE(CONTROL!$C$22, $C$13, 100%, $E$13)</f>
        <v>6.6882000000000001</v>
      </c>
      <c r="G436" s="61">
        <f>6.6884 * CHOOSE(CONTROL!$C$22, $C$13, 100%, $E$13)</f>
        <v>6.6883999999999997</v>
      </c>
      <c r="H436" s="61">
        <f>12.3412* CHOOSE(CONTROL!$C$22, $C$13, 100%, $E$13)</f>
        <v>12.341200000000001</v>
      </c>
      <c r="I436" s="61">
        <f>12.3414 * CHOOSE(CONTROL!$C$22, $C$13, 100%, $E$13)</f>
        <v>12.3414</v>
      </c>
      <c r="J436" s="61">
        <f>6.6882 * CHOOSE(CONTROL!$C$22, $C$13, 100%, $E$13)</f>
        <v>6.6882000000000001</v>
      </c>
      <c r="K436" s="61">
        <f>6.6884 * CHOOSE(CONTROL!$C$22, $C$13, 100%, $E$13)</f>
        <v>6.6883999999999997</v>
      </c>
    </row>
    <row r="437" spans="1:11" ht="15">
      <c r="A437" s="13">
        <v>55154</v>
      </c>
      <c r="B437" s="60">
        <f>6.0272 * CHOOSE(CONTROL!$C$22, $C$13, 100%, $E$13)</f>
        <v>6.0271999999999997</v>
      </c>
      <c r="C437" s="60">
        <f>6.0272 * CHOOSE(CONTROL!$C$22, $C$13, 100%, $E$13)</f>
        <v>6.0271999999999997</v>
      </c>
      <c r="D437" s="60">
        <f>6.0461 * CHOOSE(CONTROL!$C$22, $C$13, 100%, $E$13)</f>
        <v>6.0461</v>
      </c>
      <c r="E437" s="61">
        <f>6.7909 * CHOOSE(CONTROL!$C$22, $C$13, 100%, $E$13)</f>
        <v>6.7908999999999997</v>
      </c>
      <c r="F437" s="61">
        <f>6.7909 * CHOOSE(CONTROL!$C$22, $C$13, 100%, $E$13)</f>
        <v>6.7908999999999997</v>
      </c>
      <c r="G437" s="61">
        <f>6.791 * CHOOSE(CONTROL!$C$22, $C$13, 100%, $E$13)</f>
        <v>6.7910000000000004</v>
      </c>
      <c r="H437" s="61">
        <f>12.3669* CHOOSE(CONTROL!$C$22, $C$13, 100%, $E$13)</f>
        <v>12.366899999999999</v>
      </c>
      <c r="I437" s="61">
        <f>12.3671 * CHOOSE(CONTROL!$C$22, $C$13, 100%, $E$13)</f>
        <v>12.367100000000001</v>
      </c>
      <c r="J437" s="61">
        <f>6.7909 * CHOOSE(CONTROL!$C$22, $C$13, 100%, $E$13)</f>
        <v>6.7908999999999997</v>
      </c>
      <c r="K437" s="61">
        <f>6.791 * CHOOSE(CONTROL!$C$22, $C$13, 100%, $E$13)</f>
        <v>6.7910000000000004</v>
      </c>
    </row>
    <row r="438" spans="1:11" ht="15">
      <c r="A438" s="13">
        <v>55185</v>
      </c>
      <c r="B438" s="60">
        <f>6.0242 * CHOOSE(CONTROL!$C$22, $C$13, 100%, $E$13)</f>
        <v>6.0242000000000004</v>
      </c>
      <c r="C438" s="60">
        <f>6.0242 * CHOOSE(CONTROL!$C$22, $C$13, 100%, $E$13)</f>
        <v>6.0242000000000004</v>
      </c>
      <c r="D438" s="60">
        <f>6.043 * CHOOSE(CONTROL!$C$22, $C$13, 100%, $E$13)</f>
        <v>6.0430000000000001</v>
      </c>
      <c r="E438" s="61">
        <f>6.6861 * CHOOSE(CONTROL!$C$22, $C$13, 100%, $E$13)</f>
        <v>6.6860999999999997</v>
      </c>
      <c r="F438" s="61">
        <f>6.6861 * CHOOSE(CONTROL!$C$22, $C$13, 100%, $E$13)</f>
        <v>6.6860999999999997</v>
      </c>
      <c r="G438" s="61">
        <f>6.6863 * CHOOSE(CONTROL!$C$22, $C$13, 100%, $E$13)</f>
        <v>6.6863000000000001</v>
      </c>
      <c r="H438" s="61">
        <f>12.3927* CHOOSE(CONTROL!$C$22, $C$13, 100%, $E$13)</f>
        <v>12.3927</v>
      </c>
      <c r="I438" s="61">
        <f>12.3929 * CHOOSE(CONTROL!$C$22, $C$13, 100%, $E$13)</f>
        <v>12.392899999999999</v>
      </c>
      <c r="J438" s="61">
        <f>6.6861 * CHOOSE(CONTROL!$C$22, $C$13, 100%, $E$13)</f>
        <v>6.6860999999999997</v>
      </c>
      <c r="K438" s="61">
        <f>6.6863 * CHOOSE(CONTROL!$C$22, $C$13, 100%, $E$13)</f>
        <v>6.6863000000000001</v>
      </c>
    </row>
    <row r="439" spans="1:11" ht="15">
      <c r="A439" s="13">
        <v>55213</v>
      </c>
      <c r="B439" s="60">
        <f>6.0212 * CHOOSE(CONTROL!$C$22, $C$13, 100%, $E$13)</f>
        <v>6.0212000000000003</v>
      </c>
      <c r="C439" s="60">
        <f>6.0212 * CHOOSE(CONTROL!$C$22, $C$13, 100%, $E$13)</f>
        <v>6.0212000000000003</v>
      </c>
      <c r="D439" s="60">
        <f>6.04 * CHOOSE(CONTROL!$C$22, $C$13, 100%, $E$13)</f>
        <v>6.04</v>
      </c>
      <c r="E439" s="61">
        <f>6.7649 * CHOOSE(CONTROL!$C$22, $C$13, 100%, $E$13)</f>
        <v>6.7648999999999999</v>
      </c>
      <c r="F439" s="61">
        <f>6.7649 * CHOOSE(CONTROL!$C$22, $C$13, 100%, $E$13)</f>
        <v>6.7648999999999999</v>
      </c>
      <c r="G439" s="61">
        <f>6.7651 * CHOOSE(CONTROL!$C$22, $C$13, 100%, $E$13)</f>
        <v>6.7651000000000003</v>
      </c>
      <c r="H439" s="61">
        <f>12.4185* CHOOSE(CONTROL!$C$22, $C$13, 100%, $E$13)</f>
        <v>12.4185</v>
      </c>
      <c r="I439" s="61">
        <f>12.4187 * CHOOSE(CONTROL!$C$22, $C$13, 100%, $E$13)</f>
        <v>12.418699999999999</v>
      </c>
      <c r="J439" s="61">
        <f>6.7649 * CHOOSE(CONTROL!$C$22, $C$13, 100%, $E$13)</f>
        <v>6.7648999999999999</v>
      </c>
      <c r="K439" s="61">
        <f>6.7651 * CHOOSE(CONTROL!$C$22, $C$13, 100%, $E$13)</f>
        <v>6.7651000000000003</v>
      </c>
    </row>
    <row r="440" spans="1:11" ht="15">
      <c r="A440" s="13">
        <v>55244</v>
      </c>
      <c r="B440" s="60">
        <f>6.0208 * CHOOSE(CONTROL!$C$22, $C$13, 100%, $E$13)</f>
        <v>6.0208000000000004</v>
      </c>
      <c r="C440" s="60">
        <f>6.0208 * CHOOSE(CONTROL!$C$22, $C$13, 100%, $E$13)</f>
        <v>6.0208000000000004</v>
      </c>
      <c r="D440" s="60">
        <f>6.0396 * CHOOSE(CONTROL!$C$22, $C$13, 100%, $E$13)</f>
        <v>6.0396000000000001</v>
      </c>
      <c r="E440" s="61">
        <f>6.8476 * CHOOSE(CONTROL!$C$22, $C$13, 100%, $E$13)</f>
        <v>6.8475999999999999</v>
      </c>
      <c r="F440" s="61">
        <f>6.8476 * CHOOSE(CONTROL!$C$22, $C$13, 100%, $E$13)</f>
        <v>6.8475999999999999</v>
      </c>
      <c r="G440" s="61">
        <f>6.8477 * CHOOSE(CONTROL!$C$22, $C$13, 100%, $E$13)</f>
        <v>6.8476999999999997</v>
      </c>
      <c r="H440" s="61">
        <f>12.4444* CHOOSE(CONTROL!$C$22, $C$13, 100%, $E$13)</f>
        <v>12.4444</v>
      </c>
      <c r="I440" s="61">
        <f>12.4446 * CHOOSE(CONTROL!$C$22, $C$13, 100%, $E$13)</f>
        <v>12.444599999999999</v>
      </c>
      <c r="J440" s="61">
        <f>6.8476 * CHOOSE(CONTROL!$C$22, $C$13, 100%, $E$13)</f>
        <v>6.8475999999999999</v>
      </c>
      <c r="K440" s="61">
        <f>6.8477 * CHOOSE(CONTROL!$C$22, $C$13, 100%, $E$13)</f>
        <v>6.8476999999999997</v>
      </c>
    </row>
    <row r="441" spans="1:11" ht="15">
      <c r="A441" s="13">
        <v>55274</v>
      </c>
      <c r="B441" s="60">
        <f>6.0208 * CHOOSE(CONTROL!$C$22, $C$13, 100%, $E$13)</f>
        <v>6.0208000000000004</v>
      </c>
      <c r="C441" s="60">
        <f>6.0208 * CHOOSE(CONTROL!$C$22, $C$13, 100%, $E$13)</f>
        <v>6.0208000000000004</v>
      </c>
      <c r="D441" s="60">
        <f>6.0585 * CHOOSE(CONTROL!$C$22, $C$13, 100%, $E$13)</f>
        <v>6.0585000000000004</v>
      </c>
      <c r="E441" s="61">
        <f>6.8802 * CHOOSE(CONTROL!$C$22, $C$13, 100%, $E$13)</f>
        <v>6.8802000000000003</v>
      </c>
      <c r="F441" s="61">
        <f>6.8802 * CHOOSE(CONTROL!$C$22, $C$13, 100%, $E$13)</f>
        <v>6.8802000000000003</v>
      </c>
      <c r="G441" s="61">
        <f>6.8825 * CHOOSE(CONTROL!$C$22, $C$13, 100%, $E$13)</f>
        <v>6.8825000000000003</v>
      </c>
      <c r="H441" s="61">
        <f>12.4703* CHOOSE(CONTROL!$C$22, $C$13, 100%, $E$13)</f>
        <v>12.4703</v>
      </c>
      <c r="I441" s="61">
        <f>12.4726 * CHOOSE(CONTROL!$C$22, $C$13, 100%, $E$13)</f>
        <v>12.4726</v>
      </c>
      <c r="J441" s="61">
        <f>6.8802 * CHOOSE(CONTROL!$C$22, $C$13, 100%, $E$13)</f>
        <v>6.8802000000000003</v>
      </c>
      <c r="K441" s="61">
        <f>6.8825 * CHOOSE(CONTROL!$C$22, $C$13, 100%, $E$13)</f>
        <v>6.8825000000000003</v>
      </c>
    </row>
    <row r="442" spans="1:11" ht="15">
      <c r="A442" s="13">
        <v>55305</v>
      </c>
      <c r="B442" s="60">
        <f>6.0269 * CHOOSE(CONTROL!$C$22, $C$13, 100%, $E$13)</f>
        <v>6.0269000000000004</v>
      </c>
      <c r="C442" s="60">
        <f>6.0269 * CHOOSE(CONTROL!$C$22, $C$13, 100%, $E$13)</f>
        <v>6.0269000000000004</v>
      </c>
      <c r="D442" s="60">
        <f>6.0645 * CHOOSE(CONTROL!$C$22, $C$13, 100%, $E$13)</f>
        <v>6.0644999999999998</v>
      </c>
      <c r="E442" s="61">
        <f>6.8518 * CHOOSE(CONTROL!$C$22, $C$13, 100%, $E$13)</f>
        <v>6.8517999999999999</v>
      </c>
      <c r="F442" s="61">
        <f>6.8518 * CHOOSE(CONTROL!$C$22, $C$13, 100%, $E$13)</f>
        <v>6.8517999999999999</v>
      </c>
      <c r="G442" s="61">
        <f>6.8541 * CHOOSE(CONTROL!$C$22, $C$13, 100%, $E$13)</f>
        <v>6.8540999999999999</v>
      </c>
      <c r="H442" s="61">
        <f>12.4963* CHOOSE(CONTROL!$C$22, $C$13, 100%, $E$13)</f>
        <v>12.4963</v>
      </c>
      <c r="I442" s="61">
        <f>12.4986 * CHOOSE(CONTROL!$C$22, $C$13, 100%, $E$13)</f>
        <v>12.4986</v>
      </c>
      <c r="J442" s="61">
        <f>6.8518 * CHOOSE(CONTROL!$C$22, $C$13, 100%, $E$13)</f>
        <v>6.8517999999999999</v>
      </c>
      <c r="K442" s="61">
        <f>6.8541 * CHOOSE(CONTROL!$C$22, $C$13, 100%, $E$13)</f>
        <v>6.8540999999999999</v>
      </c>
    </row>
    <row r="443" spans="1:11" ht="15">
      <c r="A443" s="13">
        <v>55335</v>
      </c>
      <c r="B443" s="60">
        <f>6.1182 * CHOOSE(CONTROL!$C$22, $C$13, 100%, $E$13)</f>
        <v>6.1181999999999999</v>
      </c>
      <c r="C443" s="60">
        <f>6.1182 * CHOOSE(CONTROL!$C$22, $C$13, 100%, $E$13)</f>
        <v>6.1181999999999999</v>
      </c>
      <c r="D443" s="60">
        <f>6.1558 * CHOOSE(CONTROL!$C$22, $C$13, 100%, $E$13)</f>
        <v>6.1558000000000002</v>
      </c>
      <c r="E443" s="61">
        <f>6.9825 * CHOOSE(CONTROL!$C$22, $C$13, 100%, $E$13)</f>
        <v>6.9824999999999999</v>
      </c>
      <c r="F443" s="61">
        <f>6.9825 * CHOOSE(CONTROL!$C$22, $C$13, 100%, $E$13)</f>
        <v>6.9824999999999999</v>
      </c>
      <c r="G443" s="61">
        <f>6.9848 * CHOOSE(CONTROL!$C$22, $C$13, 100%, $E$13)</f>
        <v>6.9847999999999999</v>
      </c>
      <c r="H443" s="61">
        <f>12.5223* CHOOSE(CONTROL!$C$22, $C$13, 100%, $E$13)</f>
        <v>12.5223</v>
      </c>
      <c r="I443" s="61">
        <f>12.5246 * CHOOSE(CONTROL!$C$22, $C$13, 100%, $E$13)</f>
        <v>12.5246</v>
      </c>
      <c r="J443" s="61">
        <f>6.9825 * CHOOSE(CONTROL!$C$22, $C$13, 100%, $E$13)</f>
        <v>6.9824999999999999</v>
      </c>
      <c r="K443" s="61">
        <f>6.9848 * CHOOSE(CONTROL!$C$22, $C$13, 100%, $E$13)</f>
        <v>6.9847999999999999</v>
      </c>
    </row>
    <row r="444" spans="1:11" ht="15">
      <c r="A444" s="13">
        <v>55366</v>
      </c>
      <c r="B444" s="60">
        <f>6.1249 * CHOOSE(CONTROL!$C$22, $C$13, 100%, $E$13)</f>
        <v>6.1249000000000002</v>
      </c>
      <c r="C444" s="60">
        <f>6.1249 * CHOOSE(CONTROL!$C$22, $C$13, 100%, $E$13)</f>
        <v>6.1249000000000002</v>
      </c>
      <c r="D444" s="60">
        <f>6.1625 * CHOOSE(CONTROL!$C$22, $C$13, 100%, $E$13)</f>
        <v>6.1624999999999996</v>
      </c>
      <c r="E444" s="61">
        <f>6.8894 * CHOOSE(CONTROL!$C$22, $C$13, 100%, $E$13)</f>
        <v>6.8894000000000002</v>
      </c>
      <c r="F444" s="61">
        <f>6.8894 * CHOOSE(CONTROL!$C$22, $C$13, 100%, $E$13)</f>
        <v>6.8894000000000002</v>
      </c>
      <c r="G444" s="61">
        <f>6.8917 * CHOOSE(CONTROL!$C$22, $C$13, 100%, $E$13)</f>
        <v>6.8917000000000002</v>
      </c>
      <c r="H444" s="61">
        <f>12.5484* CHOOSE(CONTROL!$C$22, $C$13, 100%, $E$13)</f>
        <v>12.548400000000001</v>
      </c>
      <c r="I444" s="61">
        <f>12.5507 * CHOOSE(CONTROL!$C$22, $C$13, 100%, $E$13)</f>
        <v>12.550700000000001</v>
      </c>
      <c r="J444" s="61">
        <f>6.8894 * CHOOSE(CONTROL!$C$22, $C$13, 100%, $E$13)</f>
        <v>6.8894000000000002</v>
      </c>
      <c r="K444" s="61">
        <f>6.8917 * CHOOSE(CONTROL!$C$22, $C$13, 100%, $E$13)</f>
        <v>6.8917000000000002</v>
      </c>
    </row>
    <row r="445" spans="1:11" ht="15">
      <c r="A445" s="13">
        <v>55397</v>
      </c>
      <c r="B445" s="60">
        <f>6.1218 * CHOOSE(CONTROL!$C$22, $C$13, 100%, $E$13)</f>
        <v>6.1218000000000004</v>
      </c>
      <c r="C445" s="60">
        <f>6.1218 * CHOOSE(CONTROL!$C$22, $C$13, 100%, $E$13)</f>
        <v>6.1218000000000004</v>
      </c>
      <c r="D445" s="60">
        <f>6.1594 * CHOOSE(CONTROL!$C$22, $C$13, 100%, $E$13)</f>
        <v>6.1593999999999998</v>
      </c>
      <c r="E445" s="61">
        <f>6.8764 * CHOOSE(CONTROL!$C$22, $C$13, 100%, $E$13)</f>
        <v>6.8764000000000003</v>
      </c>
      <c r="F445" s="61">
        <f>6.8764 * CHOOSE(CONTROL!$C$22, $C$13, 100%, $E$13)</f>
        <v>6.8764000000000003</v>
      </c>
      <c r="G445" s="61">
        <f>6.8787 * CHOOSE(CONTROL!$C$22, $C$13, 100%, $E$13)</f>
        <v>6.8787000000000003</v>
      </c>
      <c r="H445" s="61">
        <f>12.5746* CHOOSE(CONTROL!$C$22, $C$13, 100%, $E$13)</f>
        <v>12.5746</v>
      </c>
      <c r="I445" s="61">
        <f>12.5769 * CHOOSE(CONTROL!$C$22, $C$13, 100%, $E$13)</f>
        <v>12.5769</v>
      </c>
      <c r="J445" s="61">
        <f>6.8764 * CHOOSE(CONTROL!$C$22, $C$13, 100%, $E$13)</f>
        <v>6.8764000000000003</v>
      </c>
      <c r="K445" s="61">
        <f>6.8787 * CHOOSE(CONTROL!$C$22, $C$13, 100%, $E$13)</f>
        <v>6.8787000000000003</v>
      </c>
    </row>
    <row r="446" spans="1:11" ht="15">
      <c r="A446" s="13">
        <v>55427</v>
      </c>
      <c r="B446" s="60">
        <f>6.125 * CHOOSE(CONTROL!$C$22, $C$13, 100%, $E$13)</f>
        <v>6.125</v>
      </c>
      <c r="C446" s="60">
        <f>6.125 * CHOOSE(CONTROL!$C$22, $C$13, 100%, $E$13)</f>
        <v>6.125</v>
      </c>
      <c r="D446" s="60">
        <f>6.1438 * CHOOSE(CONTROL!$C$22, $C$13, 100%, $E$13)</f>
        <v>6.1437999999999997</v>
      </c>
      <c r="E446" s="61">
        <f>6.9065 * CHOOSE(CONTROL!$C$22, $C$13, 100%, $E$13)</f>
        <v>6.9065000000000003</v>
      </c>
      <c r="F446" s="61">
        <f>6.9065 * CHOOSE(CONTROL!$C$22, $C$13, 100%, $E$13)</f>
        <v>6.9065000000000003</v>
      </c>
      <c r="G446" s="61">
        <f>6.9066 * CHOOSE(CONTROL!$C$22, $C$13, 100%, $E$13)</f>
        <v>6.9066000000000001</v>
      </c>
      <c r="H446" s="61">
        <f>12.6008* CHOOSE(CONTROL!$C$22, $C$13, 100%, $E$13)</f>
        <v>12.6008</v>
      </c>
      <c r="I446" s="61">
        <f>12.6009 * CHOOSE(CONTROL!$C$22, $C$13, 100%, $E$13)</f>
        <v>12.600899999999999</v>
      </c>
      <c r="J446" s="61">
        <f>6.9065 * CHOOSE(CONTROL!$C$22, $C$13, 100%, $E$13)</f>
        <v>6.9065000000000003</v>
      </c>
      <c r="K446" s="61">
        <f>6.9066 * CHOOSE(CONTROL!$C$22, $C$13, 100%, $E$13)</f>
        <v>6.9066000000000001</v>
      </c>
    </row>
    <row r="447" spans="1:11" ht="15">
      <c r="A447" s="13">
        <v>55458</v>
      </c>
      <c r="B447" s="60">
        <f>6.1281 * CHOOSE(CONTROL!$C$22, $C$13, 100%, $E$13)</f>
        <v>6.1280999999999999</v>
      </c>
      <c r="C447" s="60">
        <f>6.1281 * CHOOSE(CONTROL!$C$22, $C$13, 100%, $E$13)</f>
        <v>6.1280999999999999</v>
      </c>
      <c r="D447" s="60">
        <f>6.1469 * CHOOSE(CONTROL!$C$22, $C$13, 100%, $E$13)</f>
        <v>6.1468999999999996</v>
      </c>
      <c r="E447" s="61">
        <f>6.9303 * CHOOSE(CONTROL!$C$22, $C$13, 100%, $E$13)</f>
        <v>6.9302999999999999</v>
      </c>
      <c r="F447" s="61">
        <f>6.9303 * CHOOSE(CONTROL!$C$22, $C$13, 100%, $E$13)</f>
        <v>6.9302999999999999</v>
      </c>
      <c r="G447" s="61">
        <f>6.9305 * CHOOSE(CONTROL!$C$22, $C$13, 100%, $E$13)</f>
        <v>6.9305000000000003</v>
      </c>
      <c r="H447" s="61">
        <f>12.627* CHOOSE(CONTROL!$C$22, $C$13, 100%, $E$13)</f>
        <v>12.627000000000001</v>
      </c>
      <c r="I447" s="61">
        <f>12.6272 * CHOOSE(CONTROL!$C$22, $C$13, 100%, $E$13)</f>
        <v>12.6272</v>
      </c>
      <c r="J447" s="61">
        <f>6.9303 * CHOOSE(CONTROL!$C$22, $C$13, 100%, $E$13)</f>
        <v>6.9302999999999999</v>
      </c>
      <c r="K447" s="61">
        <f>6.9305 * CHOOSE(CONTROL!$C$22, $C$13, 100%, $E$13)</f>
        <v>6.9305000000000003</v>
      </c>
    </row>
    <row r="448" spans="1:11" ht="15">
      <c r="A448" s="13">
        <v>55488</v>
      </c>
      <c r="B448" s="60">
        <f>6.1281 * CHOOSE(CONTROL!$C$22, $C$13, 100%, $E$13)</f>
        <v>6.1280999999999999</v>
      </c>
      <c r="C448" s="60">
        <f>6.1281 * CHOOSE(CONTROL!$C$22, $C$13, 100%, $E$13)</f>
        <v>6.1280999999999999</v>
      </c>
      <c r="D448" s="60">
        <f>6.1469 * CHOOSE(CONTROL!$C$22, $C$13, 100%, $E$13)</f>
        <v>6.1468999999999996</v>
      </c>
      <c r="E448" s="61">
        <f>6.876 * CHOOSE(CONTROL!$C$22, $C$13, 100%, $E$13)</f>
        <v>6.8760000000000003</v>
      </c>
      <c r="F448" s="61">
        <f>6.876 * CHOOSE(CONTROL!$C$22, $C$13, 100%, $E$13)</f>
        <v>6.8760000000000003</v>
      </c>
      <c r="G448" s="61">
        <f>6.8762 * CHOOSE(CONTROL!$C$22, $C$13, 100%, $E$13)</f>
        <v>6.8761999999999999</v>
      </c>
      <c r="H448" s="61">
        <f>12.6533* CHOOSE(CONTROL!$C$22, $C$13, 100%, $E$13)</f>
        <v>12.6533</v>
      </c>
      <c r="I448" s="61">
        <f>12.6535 * CHOOSE(CONTROL!$C$22, $C$13, 100%, $E$13)</f>
        <v>12.653499999999999</v>
      </c>
      <c r="J448" s="61">
        <f>6.876 * CHOOSE(CONTROL!$C$22, $C$13, 100%, $E$13)</f>
        <v>6.8760000000000003</v>
      </c>
      <c r="K448" s="61">
        <f>6.8762 * CHOOSE(CONTROL!$C$22, $C$13, 100%, $E$13)</f>
        <v>6.8761999999999999</v>
      </c>
    </row>
    <row r="449" spans="1:11" ht="15">
      <c r="A449" s="13">
        <v>55519</v>
      </c>
      <c r="B449" s="60">
        <f>6.1802 * CHOOSE(CONTROL!$C$22, $C$13, 100%, $E$13)</f>
        <v>6.1802000000000001</v>
      </c>
      <c r="C449" s="60">
        <f>6.1802 * CHOOSE(CONTROL!$C$22, $C$13, 100%, $E$13)</f>
        <v>6.1802000000000001</v>
      </c>
      <c r="D449" s="60">
        <f>6.199 * CHOOSE(CONTROL!$C$22, $C$13, 100%, $E$13)</f>
        <v>6.1989999999999998</v>
      </c>
      <c r="E449" s="61">
        <f>6.9816 * CHOOSE(CONTROL!$C$22, $C$13, 100%, $E$13)</f>
        <v>6.9816000000000003</v>
      </c>
      <c r="F449" s="61">
        <f>6.9816 * CHOOSE(CONTROL!$C$22, $C$13, 100%, $E$13)</f>
        <v>6.9816000000000003</v>
      </c>
      <c r="G449" s="61">
        <f>6.9817 * CHOOSE(CONTROL!$C$22, $C$13, 100%, $E$13)</f>
        <v>6.9817</v>
      </c>
      <c r="H449" s="61">
        <f>12.6797* CHOOSE(CONTROL!$C$22, $C$13, 100%, $E$13)</f>
        <v>12.6797</v>
      </c>
      <c r="I449" s="61">
        <f>12.6799 * CHOOSE(CONTROL!$C$22, $C$13, 100%, $E$13)</f>
        <v>12.6799</v>
      </c>
      <c r="J449" s="61">
        <f>6.9816 * CHOOSE(CONTROL!$C$22, $C$13, 100%, $E$13)</f>
        <v>6.9816000000000003</v>
      </c>
      <c r="K449" s="61">
        <f>6.9817 * CHOOSE(CONTROL!$C$22, $C$13, 100%, $E$13)</f>
        <v>6.9817</v>
      </c>
    </row>
    <row r="450" spans="1:11" ht="15">
      <c r="A450" s="13">
        <v>55550</v>
      </c>
      <c r="B450" s="60">
        <f>6.1772 * CHOOSE(CONTROL!$C$22, $C$13, 100%, $E$13)</f>
        <v>6.1772</v>
      </c>
      <c r="C450" s="60">
        <f>6.1772 * CHOOSE(CONTROL!$C$22, $C$13, 100%, $E$13)</f>
        <v>6.1772</v>
      </c>
      <c r="D450" s="60">
        <f>6.196 * CHOOSE(CONTROL!$C$22, $C$13, 100%, $E$13)</f>
        <v>6.1959999999999997</v>
      </c>
      <c r="E450" s="61">
        <f>6.8735 * CHOOSE(CONTROL!$C$22, $C$13, 100%, $E$13)</f>
        <v>6.8734999999999999</v>
      </c>
      <c r="F450" s="61">
        <f>6.8735 * CHOOSE(CONTROL!$C$22, $C$13, 100%, $E$13)</f>
        <v>6.8734999999999999</v>
      </c>
      <c r="G450" s="61">
        <f>6.8737 * CHOOSE(CONTROL!$C$22, $C$13, 100%, $E$13)</f>
        <v>6.8737000000000004</v>
      </c>
      <c r="H450" s="61">
        <f>12.7061* CHOOSE(CONTROL!$C$22, $C$13, 100%, $E$13)</f>
        <v>12.706099999999999</v>
      </c>
      <c r="I450" s="61">
        <f>12.7063 * CHOOSE(CONTROL!$C$22, $C$13, 100%, $E$13)</f>
        <v>12.706300000000001</v>
      </c>
      <c r="J450" s="61">
        <f>6.8735 * CHOOSE(CONTROL!$C$22, $C$13, 100%, $E$13)</f>
        <v>6.8734999999999999</v>
      </c>
      <c r="K450" s="61">
        <f>6.8737 * CHOOSE(CONTROL!$C$22, $C$13, 100%, $E$13)</f>
        <v>6.8737000000000004</v>
      </c>
    </row>
    <row r="451" spans="1:11" ht="15">
      <c r="A451" s="13">
        <v>55579</v>
      </c>
      <c r="B451" s="60">
        <f>6.1741 * CHOOSE(CONTROL!$C$22, $C$13, 100%, $E$13)</f>
        <v>6.1741000000000001</v>
      </c>
      <c r="C451" s="60">
        <f>6.1741 * CHOOSE(CONTROL!$C$22, $C$13, 100%, $E$13)</f>
        <v>6.1741000000000001</v>
      </c>
      <c r="D451" s="60">
        <f>6.1929 * CHOOSE(CONTROL!$C$22, $C$13, 100%, $E$13)</f>
        <v>6.1928999999999998</v>
      </c>
      <c r="E451" s="61">
        <f>6.9549 * CHOOSE(CONTROL!$C$22, $C$13, 100%, $E$13)</f>
        <v>6.9549000000000003</v>
      </c>
      <c r="F451" s="61">
        <f>6.9549 * CHOOSE(CONTROL!$C$22, $C$13, 100%, $E$13)</f>
        <v>6.9549000000000003</v>
      </c>
      <c r="G451" s="61">
        <f>6.9551 * CHOOSE(CONTROL!$C$22, $C$13, 100%, $E$13)</f>
        <v>6.9550999999999998</v>
      </c>
      <c r="H451" s="61">
        <f>12.7326* CHOOSE(CONTROL!$C$22, $C$13, 100%, $E$13)</f>
        <v>12.7326</v>
      </c>
      <c r="I451" s="61">
        <f>12.7327 * CHOOSE(CONTROL!$C$22, $C$13, 100%, $E$13)</f>
        <v>12.732699999999999</v>
      </c>
      <c r="J451" s="61">
        <f>6.9549 * CHOOSE(CONTROL!$C$22, $C$13, 100%, $E$13)</f>
        <v>6.9549000000000003</v>
      </c>
      <c r="K451" s="61">
        <f>6.9551 * CHOOSE(CONTROL!$C$22, $C$13, 100%, $E$13)</f>
        <v>6.9550999999999998</v>
      </c>
    </row>
    <row r="452" spans="1:11" ht="15">
      <c r="A452" s="13">
        <v>55610</v>
      </c>
      <c r="B452" s="60">
        <f>6.1739 * CHOOSE(CONTROL!$C$22, $C$13, 100%, $E$13)</f>
        <v>6.1738999999999997</v>
      </c>
      <c r="C452" s="60">
        <f>6.1739 * CHOOSE(CONTROL!$C$22, $C$13, 100%, $E$13)</f>
        <v>6.1738999999999997</v>
      </c>
      <c r="D452" s="60">
        <f>6.1927 * CHOOSE(CONTROL!$C$22, $C$13, 100%, $E$13)</f>
        <v>6.1927000000000003</v>
      </c>
      <c r="E452" s="61">
        <f>7.0403 * CHOOSE(CONTROL!$C$22, $C$13, 100%, $E$13)</f>
        <v>7.0403000000000002</v>
      </c>
      <c r="F452" s="61">
        <f>7.0403 * CHOOSE(CONTROL!$C$22, $C$13, 100%, $E$13)</f>
        <v>7.0403000000000002</v>
      </c>
      <c r="G452" s="61">
        <f>7.0405 * CHOOSE(CONTROL!$C$22, $C$13, 100%, $E$13)</f>
        <v>7.0404999999999998</v>
      </c>
      <c r="H452" s="61">
        <f>12.7591* CHOOSE(CONTROL!$C$22, $C$13, 100%, $E$13)</f>
        <v>12.7591</v>
      </c>
      <c r="I452" s="61">
        <f>12.7593 * CHOOSE(CONTROL!$C$22, $C$13, 100%, $E$13)</f>
        <v>12.7593</v>
      </c>
      <c r="J452" s="61">
        <f>7.0403 * CHOOSE(CONTROL!$C$22, $C$13, 100%, $E$13)</f>
        <v>7.0403000000000002</v>
      </c>
      <c r="K452" s="61">
        <f>7.0405 * CHOOSE(CONTROL!$C$22, $C$13, 100%, $E$13)</f>
        <v>7.0404999999999998</v>
      </c>
    </row>
    <row r="453" spans="1:11" ht="15">
      <c r="A453" s="13">
        <v>55640</v>
      </c>
      <c r="B453" s="60">
        <f>6.1739 * CHOOSE(CONTROL!$C$22, $C$13, 100%, $E$13)</f>
        <v>6.1738999999999997</v>
      </c>
      <c r="C453" s="60">
        <f>6.1739 * CHOOSE(CONTROL!$C$22, $C$13, 100%, $E$13)</f>
        <v>6.1738999999999997</v>
      </c>
      <c r="D453" s="60">
        <f>6.2116 * CHOOSE(CONTROL!$C$22, $C$13, 100%, $E$13)</f>
        <v>6.2115999999999998</v>
      </c>
      <c r="E453" s="61">
        <f>7.074 * CHOOSE(CONTROL!$C$22, $C$13, 100%, $E$13)</f>
        <v>7.0739999999999998</v>
      </c>
      <c r="F453" s="61">
        <f>7.074 * CHOOSE(CONTROL!$C$22, $C$13, 100%, $E$13)</f>
        <v>7.0739999999999998</v>
      </c>
      <c r="G453" s="61">
        <f>7.0763 * CHOOSE(CONTROL!$C$22, $C$13, 100%, $E$13)</f>
        <v>7.0762999999999998</v>
      </c>
      <c r="H453" s="61">
        <f>12.7857* CHOOSE(CONTROL!$C$22, $C$13, 100%, $E$13)</f>
        <v>12.7857</v>
      </c>
      <c r="I453" s="61">
        <f>12.788 * CHOOSE(CONTROL!$C$22, $C$13, 100%, $E$13)</f>
        <v>12.788</v>
      </c>
      <c r="J453" s="61">
        <f>7.074 * CHOOSE(CONTROL!$C$22, $C$13, 100%, $E$13)</f>
        <v>7.0739999999999998</v>
      </c>
      <c r="K453" s="61">
        <f>7.0763 * CHOOSE(CONTROL!$C$22, $C$13, 100%, $E$13)</f>
        <v>7.0762999999999998</v>
      </c>
    </row>
    <row r="454" spans="1:11" ht="15">
      <c r="A454" s="13">
        <v>55671</v>
      </c>
      <c r="B454" s="60">
        <f>6.18 * CHOOSE(CONTROL!$C$22, $C$13, 100%, $E$13)</f>
        <v>6.18</v>
      </c>
      <c r="C454" s="60">
        <f>6.18 * CHOOSE(CONTROL!$C$22, $C$13, 100%, $E$13)</f>
        <v>6.18</v>
      </c>
      <c r="D454" s="60">
        <f>6.2176 * CHOOSE(CONTROL!$C$22, $C$13, 100%, $E$13)</f>
        <v>6.2176</v>
      </c>
      <c r="E454" s="61">
        <f>7.0446 * CHOOSE(CONTROL!$C$22, $C$13, 100%, $E$13)</f>
        <v>7.0446</v>
      </c>
      <c r="F454" s="61">
        <f>7.0446 * CHOOSE(CONTROL!$C$22, $C$13, 100%, $E$13)</f>
        <v>7.0446</v>
      </c>
      <c r="G454" s="61">
        <f>7.0469 * CHOOSE(CONTROL!$C$22, $C$13, 100%, $E$13)</f>
        <v>7.0468999999999999</v>
      </c>
      <c r="H454" s="61">
        <f>12.8123* CHOOSE(CONTROL!$C$22, $C$13, 100%, $E$13)</f>
        <v>12.8123</v>
      </c>
      <c r="I454" s="61">
        <f>12.8146 * CHOOSE(CONTROL!$C$22, $C$13, 100%, $E$13)</f>
        <v>12.8146</v>
      </c>
      <c r="J454" s="61">
        <f>7.0446 * CHOOSE(CONTROL!$C$22, $C$13, 100%, $E$13)</f>
        <v>7.0446</v>
      </c>
      <c r="K454" s="61">
        <f>7.0469 * CHOOSE(CONTROL!$C$22, $C$13, 100%, $E$13)</f>
        <v>7.0468999999999999</v>
      </c>
    </row>
    <row r="455" spans="1:11" ht="15">
      <c r="A455" s="13">
        <v>55701</v>
      </c>
      <c r="B455" s="60">
        <f>6.2732 * CHOOSE(CONTROL!$C$22, $C$13, 100%, $E$13)</f>
        <v>6.2732000000000001</v>
      </c>
      <c r="C455" s="60">
        <f>6.2732 * CHOOSE(CONTROL!$C$22, $C$13, 100%, $E$13)</f>
        <v>6.2732000000000001</v>
      </c>
      <c r="D455" s="60">
        <f>6.3109 * CHOOSE(CONTROL!$C$22, $C$13, 100%, $E$13)</f>
        <v>6.3109000000000002</v>
      </c>
      <c r="E455" s="61">
        <f>7.1787 * CHOOSE(CONTROL!$C$22, $C$13, 100%, $E$13)</f>
        <v>7.1787000000000001</v>
      </c>
      <c r="F455" s="61">
        <f>7.1787 * CHOOSE(CONTROL!$C$22, $C$13, 100%, $E$13)</f>
        <v>7.1787000000000001</v>
      </c>
      <c r="G455" s="61">
        <f>7.181 * CHOOSE(CONTROL!$C$22, $C$13, 100%, $E$13)</f>
        <v>7.181</v>
      </c>
      <c r="H455" s="61">
        <f>12.839* CHOOSE(CONTROL!$C$22, $C$13, 100%, $E$13)</f>
        <v>12.839</v>
      </c>
      <c r="I455" s="61">
        <f>12.8413 * CHOOSE(CONTROL!$C$22, $C$13, 100%, $E$13)</f>
        <v>12.8413</v>
      </c>
      <c r="J455" s="61">
        <f>7.1787 * CHOOSE(CONTROL!$C$22, $C$13, 100%, $E$13)</f>
        <v>7.1787000000000001</v>
      </c>
      <c r="K455" s="61">
        <f>7.181 * CHOOSE(CONTROL!$C$22, $C$13, 100%, $E$13)</f>
        <v>7.181</v>
      </c>
    </row>
    <row r="456" spans="1:11" ht="15">
      <c r="A456" s="13">
        <v>55732</v>
      </c>
      <c r="B456" s="60">
        <f>6.2799 * CHOOSE(CONTROL!$C$22, $C$13, 100%, $E$13)</f>
        <v>6.2798999999999996</v>
      </c>
      <c r="C456" s="60">
        <f>6.2799 * CHOOSE(CONTROL!$C$22, $C$13, 100%, $E$13)</f>
        <v>6.2798999999999996</v>
      </c>
      <c r="D456" s="60">
        <f>6.3175 * CHOOSE(CONTROL!$C$22, $C$13, 100%, $E$13)</f>
        <v>6.3174999999999999</v>
      </c>
      <c r="E456" s="61">
        <f>7.0824 * CHOOSE(CONTROL!$C$22, $C$13, 100%, $E$13)</f>
        <v>7.0823999999999998</v>
      </c>
      <c r="F456" s="61">
        <f>7.0824 * CHOOSE(CONTROL!$C$22, $C$13, 100%, $E$13)</f>
        <v>7.0823999999999998</v>
      </c>
      <c r="G456" s="61">
        <f>7.0848 * CHOOSE(CONTROL!$C$22, $C$13, 100%, $E$13)</f>
        <v>7.0848000000000004</v>
      </c>
      <c r="H456" s="61">
        <f>12.8657* CHOOSE(CONTROL!$C$22, $C$13, 100%, $E$13)</f>
        <v>12.8657</v>
      </c>
      <c r="I456" s="61">
        <f>12.8681 * CHOOSE(CONTROL!$C$22, $C$13, 100%, $E$13)</f>
        <v>12.8681</v>
      </c>
      <c r="J456" s="61">
        <f>7.0824 * CHOOSE(CONTROL!$C$22, $C$13, 100%, $E$13)</f>
        <v>7.0823999999999998</v>
      </c>
      <c r="K456" s="61">
        <f>7.0848 * CHOOSE(CONTROL!$C$22, $C$13, 100%, $E$13)</f>
        <v>7.0848000000000004</v>
      </c>
    </row>
    <row r="457" spans="1:11" ht="15">
      <c r="A457" s="13">
        <v>55763</v>
      </c>
      <c r="B457" s="60">
        <f>6.2769 * CHOOSE(CONTROL!$C$22, $C$13, 100%, $E$13)</f>
        <v>6.2769000000000004</v>
      </c>
      <c r="C457" s="60">
        <f>6.2769 * CHOOSE(CONTROL!$C$22, $C$13, 100%, $E$13)</f>
        <v>6.2769000000000004</v>
      </c>
      <c r="D457" s="60">
        <f>6.3145 * CHOOSE(CONTROL!$C$22, $C$13, 100%, $E$13)</f>
        <v>6.3144999999999998</v>
      </c>
      <c r="E457" s="61">
        <f>7.0691 * CHOOSE(CONTROL!$C$22, $C$13, 100%, $E$13)</f>
        <v>7.0690999999999997</v>
      </c>
      <c r="F457" s="61">
        <f>7.0691 * CHOOSE(CONTROL!$C$22, $C$13, 100%, $E$13)</f>
        <v>7.0690999999999997</v>
      </c>
      <c r="G457" s="61">
        <f>7.0714 * CHOOSE(CONTROL!$C$22, $C$13, 100%, $E$13)</f>
        <v>7.0713999999999997</v>
      </c>
      <c r="H457" s="61">
        <f>12.8926* CHOOSE(CONTROL!$C$22, $C$13, 100%, $E$13)</f>
        <v>12.8926</v>
      </c>
      <c r="I457" s="61">
        <f>12.8949 * CHOOSE(CONTROL!$C$22, $C$13, 100%, $E$13)</f>
        <v>12.8949</v>
      </c>
      <c r="J457" s="61">
        <f>7.0691 * CHOOSE(CONTROL!$C$22, $C$13, 100%, $E$13)</f>
        <v>7.0690999999999997</v>
      </c>
      <c r="K457" s="61">
        <f>7.0714 * CHOOSE(CONTROL!$C$22, $C$13, 100%, $E$13)</f>
        <v>7.0713999999999997</v>
      </c>
    </row>
    <row r="458" spans="1:11" ht="15">
      <c r="A458" s="13">
        <v>55793</v>
      </c>
      <c r="B458" s="60">
        <f>6.2806 * CHOOSE(CONTROL!$C$22, $C$13, 100%, $E$13)</f>
        <v>6.2805999999999997</v>
      </c>
      <c r="C458" s="60">
        <f>6.2806 * CHOOSE(CONTROL!$C$22, $C$13, 100%, $E$13)</f>
        <v>6.2805999999999997</v>
      </c>
      <c r="D458" s="60">
        <f>6.2995 * CHOOSE(CONTROL!$C$22, $C$13, 100%, $E$13)</f>
        <v>6.2995000000000001</v>
      </c>
      <c r="E458" s="61">
        <f>7.1005 * CHOOSE(CONTROL!$C$22, $C$13, 100%, $E$13)</f>
        <v>7.1005000000000003</v>
      </c>
      <c r="F458" s="61">
        <f>7.1005 * CHOOSE(CONTROL!$C$22, $C$13, 100%, $E$13)</f>
        <v>7.1005000000000003</v>
      </c>
      <c r="G458" s="61">
        <f>7.1007 * CHOOSE(CONTROL!$C$22, $C$13, 100%, $E$13)</f>
        <v>7.1006999999999998</v>
      </c>
      <c r="H458" s="61">
        <f>12.9194* CHOOSE(CONTROL!$C$22, $C$13, 100%, $E$13)</f>
        <v>12.9194</v>
      </c>
      <c r="I458" s="61">
        <f>12.9196 * CHOOSE(CONTROL!$C$22, $C$13, 100%, $E$13)</f>
        <v>12.919600000000001</v>
      </c>
      <c r="J458" s="61">
        <f>7.1005 * CHOOSE(CONTROL!$C$22, $C$13, 100%, $E$13)</f>
        <v>7.1005000000000003</v>
      </c>
      <c r="K458" s="61">
        <f>7.1007 * CHOOSE(CONTROL!$C$22, $C$13, 100%, $E$13)</f>
        <v>7.1006999999999998</v>
      </c>
    </row>
    <row r="459" spans="1:11" ht="15">
      <c r="A459" s="13">
        <v>55824</v>
      </c>
      <c r="B459" s="60">
        <f>6.2837 * CHOOSE(CONTROL!$C$22, $C$13, 100%, $E$13)</f>
        <v>6.2836999999999996</v>
      </c>
      <c r="C459" s="60">
        <f>6.2837 * CHOOSE(CONTROL!$C$22, $C$13, 100%, $E$13)</f>
        <v>6.2836999999999996</v>
      </c>
      <c r="D459" s="60">
        <f>6.3025 * CHOOSE(CONTROL!$C$22, $C$13, 100%, $E$13)</f>
        <v>6.3025000000000002</v>
      </c>
      <c r="E459" s="61">
        <f>7.1251 * CHOOSE(CONTROL!$C$22, $C$13, 100%, $E$13)</f>
        <v>7.1250999999999998</v>
      </c>
      <c r="F459" s="61">
        <f>7.1251 * CHOOSE(CONTROL!$C$22, $C$13, 100%, $E$13)</f>
        <v>7.1250999999999998</v>
      </c>
      <c r="G459" s="61">
        <f>7.1252 * CHOOSE(CONTROL!$C$22, $C$13, 100%, $E$13)</f>
        <v>7.1252000000000004</v>
      </c>
      <c r="H459" s="61">
        <f>12.9463* CHOOSE(CONTROL!$C$22, $C$13, 100%, $E$13)</f>
        <v>12.946300000000001</v>
      </c>
      <c r="I459" s="61">
        <f>12.9465 * CHOOSE(CONTROL!$C$22, $C$13, 100%, $E$13)</f>
        <v>12.9465</v>
      </c>
      <c r="J459" s="61">
        <f>7.1251 * CHOOSE(CONTROL!$C$22, $C$13, 100%, $E$13)</f>
        <v>7.1250999999999998</v>
      </c>
      <c r="K459" s="61">
        <f>7.1252 * CHOOSE(CONTROL!$C$22, $C$13, 100%, $E$13)</f>
        <v>7.1252000000000004</v>
      </c>
    </row>
    <row r="460" spans="1:11" ht="15">
      <c r="A460" s="13">
        <v>55854</v>
      </c>
      <c r="B460" s="60">
        <f>6.2837 * CHOOSE(CONTROL!$C$22, $C$13, 100%, $E$13)</f>
        <v>6.2836999999999996</v>
      </c>
      <c r="C460" s="60">
        <f>6.2837 * CHOOSE(CONTROL!$C$22, $C$13, 100%, $E$13)</f>
        <v>6.2836999999999996</v>
      </c>
      <c r="D460" s="60">
        <f>6.3025 * CHOOSE(CONTROL!$C$22, $C$13, 100%, $E$13)</f>
        <v>6.3025000000000002</v>
      </c>
      <c r="E460" s="61">
        <f>7.069 * CHOOSE(CONTROL!$C$22, $C$13, 100%, $E$13)</f>
        <v>7.069</v>
      </c>
      <c r="F460" s="61">
        <f>7.069 * CHOOSE(CONTROL!$C$22, $C$13, 100%, $E$13)</f>
        <v>7.069</v>
      </c>
      <c r="G460" s="61">
        <f>7.0692 * CHOOSE(CONTROL!$C$22, $C$13, 100%, $E$13)</f>
        <v>7.0692000000000004</v>
      </c>
      <c r="H460" s="61">
        <f>12.9733* CHOOSE(CONTROL!$C$22, $C$13, 100%, $E$13)</f>
        <v>12.9733</v>
      </c>
      <c r="I460" s="61">
        <f>12.9735 * CHOOSE(CONTROL!$C$22, $C$13, 100%, $E$13)</f>
        <v>12.9735</v>
      </c>
      <c r="J460" s="61">
        <f>7.069 * CHOOSE(CONTROL!$C$22, $C$13, 100%, $E$13)</f>
        <v>7.069</v>
      </c>
      <c r="K460" s="61">
        <f>7.0692 * CHOOSE(CONTROL!$C$22, $C$13, 100%, $E$13)</f>
        <v>7.0692000000000004</v>
      </c>
    </row>
    <row r="461" spans="1:11" ht="15">
      <c r="A461" s="13">
        <v>55885</v>
      </c>
      <c r="B461" s="60">
        <f>6.337 * CHOOSE(CONTROL!$C$22, $C$13, 100%, $E$13)</f>
        <v>6.3369999999999997</v>
      </c>
      <c r="C461" s="60">
        <f>6.337 * CHOOSE(CONTROL!$C$22, $C$13, 100%, $E$13)</f>
        <v>6.3369999999999997</v>
      </c>
      <c r="D461" s="60">
        <f>6.3558 * CHOOSE(CONTROL!$C$22, $C$13, 100%, $E$13)</f>
        <v>6.3558000000000003</v>
      </c>
      <c r="E461" s="61">
        <f>7.1777 * CHOOSE(CONTROL!$C$22, $C$13, 100%, $E$13)</f>
        <v>7.1776999999999997</v>
      </c>
      <c r="F461" s="61">
        <f>7.1777 * CHOOSE(CONTROL!$C$22, $C$13, 100%, $E$13)</f>
        <v>7.1776999999999997</v>
      </c>
      <c r="G461" s="61">
        <f>7.1778 * CHOOSE(CONTROL!$C$22, $C$13, 100%, $E$13)</f>
        <v>7.1778000000000004</v>
      </c>
      <c r="H461" s="61">
        <f>13.0003* CHOOSE(CONTROL!$C$22, $C$13, 100%, $E$13)</f>
        <v>13.000299999999999</v>
      </c>
      <c r="I461" s="61">
        <f>13.0005 * CHOOSE(CONTROL!$C$22, $C$13, 100%, $E$13)</f>
        <v>13.000500000000001</v>
      </c>
      <c r="J461" s="61">
        <f>7.1777 * CHOOSE(CONTROL!$C$22, $C$13, 100%, $E$13)</f>
        <v>7.1776999999999997</v>
      </c>
      <c r="K461" s="61">
        <f>7.1778 * CHOOSE(CONTROL!$C$22, $C$13, 100%, $E$13)</f>
        <v>7.1778000000000004</v>
      </c>
    </row>
    <row r="462" spans="1:11" ht="15">
      <c r="A462" s="13">
        <v>55916</v>
      </c>
      <c r="B462" s="60">
        <f>6.334 * CHOOSE(CONTROL!$C$22, $C$13, 100%, $E$13)</f>
        <v>6.3339999999999996</v>
      </c>
      <c r="C462" s="60">
        <f>6.334 * CHOOSE(CONTROL!$C$22, $C$13, 100%, $E$13)</f>
        <v>6.3339999999999996</v>
      </c>
      <c r="D462" s="60">
        <f>6.3528 * CHOOSE(CONTROL!$C$22, $C$13, 100%, $E$13)</f>
        <v>6.3528000000000002</v>
      </c>
      <c r="E462" s="61">
        <f>7.0663 * CHOOSE(CONTROL!$C$22, $C$13, 100%, $E$13)</f>
        <v>7.0663</v>
      </c>
      <c r="F462" s="61">
        <f>7.0663 * CHOOSE(CONTROL!$C$22, $C$13, 100%, $E$13)</f>
        <v>7.0663</v>
      </c>
      <c r="G462" s="61">
        <f>7.0664 * CHOOSE(CONTROL!$C$22, $C$13, 100%, $E$13)</f>
        <v>7.0663999999999998</v>
      </c>
      <c r="H462" s="61">
        <f>13.0274* CHOOSE(CONTROL!$C$22, $C$13, 100%, $E$13)</f>
        <v>13.0274</v>
      </c>
      <c r="I462" s="61">
        <f>13.0276 * CHOOSE(CONTROL!$C$22, $C$13, 100%, $E$13)</f>
        <v>13.0276</v>
      </c>
      <c r="J462" s="61">
        <f>7.0663 * CHOOSE(CONTROL!$C$22, $C$13, 100%, $E$13)</f>
        <v>7.0663</v>
      </c>
      <c r="K462" s="61">
        <f>7.0664 * CHOOSE(CONTROL!$C$22, $C$13, 100%, $E$13)</f>
        <v>7.0663999999999998</v>
      </c>
    </row>
    <row r="463" spans="1:11" ht="15">
      <c r="A463" s="13">
        <v>55944</v>
      </c>
      <c r="B463" s="60">
        <f>6.331 * CHOOSE(CONTROL!$C$22, $C$13, 100%, $E$13)</f>
        <v>6.3310000000000004</v>
      </c>
      <c r="C463" s="60">
        <f>6.331 * CHOOSE(CONTROL!$C$22, $C$13, 100%, $E$13)</f>
        <v>6.3310000000000004</v>
      </c>
      <c r="D463" s="60">
        <f>6.3498 * CHOOSE(CONTROL!$C$22, $C$13, 100%, $E$13)</f>
        <v>6.3498000000000001</v>
      </c>
      <c r="E463" s="61">
        <f>7.1503 * CHOOSE(CONTROL!$C$22, $C$13, 100%, $E$13)</f>
        <v>7.1502999999999997</v>
      </c>
      <c r="F463" s="61">
        <f>7.1503 * CHOOSE(CONTROL!$C$22, $C$13, 100%, $E$13)</f>
        <v>7.1502999999999997</v>
      </c>
      <c r="G463" s="61">
        <f>7.1505 * CHOOSE(CONTROL!$C$22, $C$13, 100%, $E$13)</f>
        <v>7.1505000000000001</v>
      </c>
      <c r="H463" s="61">
        <f>13.0545* CHOOSE(CONTROL!$C$22, $C$13, 100%, $E$13)</f>
        <v>13.054500000000001</v>
      </c>
      <c r="I463" s="61">
        <f>13.0547 * CHOOSE(CONTROL!$C$22, $C$13, 100%, $E$13)</f>
        <v>13.0547</v>
      </c>
      <c r="J463" s="61">
        <f>7.1503 * CHOOSE(CONTROL!$C$22, $C$13, 100%, $E$13)</f>
        <v>7.1502999999999997</v>
      </c>
      <c r="K463" s="61">
        <f>7.1505 * CHOOSE(CONTROL!$C$22, $C$13, 100%, $E$13)</f>
        <v>7.1505000000000001</v>
      </c>
    </row>
    <row r="464" spans="1:11" ht="15">
      <c r="A464" s="13">
        <v>55975</v>
      </c>
      <c r="B464" s="60">
        <f>6.3309 * CHOOSE(CONTROL!$C$22, $C$13, 100%, $E$13)</f>
        <v>6.3308999999999997</v>
      </c>
      <c r="C464" s="60">
        <f>6.3309 * CHOOSE(CONTROL!$C$22, $C$13, 100%, $E$13)</f>
        <v>6.3308999999999997</v>
      </c>
      <c r="D464" s="60">
        <f>6.3497 * CHOOSE(CONTROL!$C$22, $C$13, 100%, $E$13)</f>
        <v>6.3497000000000003</v>
      </c>
      <c r="E464" s="61">
        <f>7.2386 * CHOOSE(CONTROL!$C$22, $C$13, 100%, $E$13)</f>
        <v>7.2385999999999999</v>
      </c>
      <c r="F464" s="61">
        <f>7.2386 * CHOOSE(CONTROL!$C$22, $C$13, 100%, $E$13)</f>
        <v>7.2385999999999999</v>
      </c>
      <c r="G464" s="61">
        <f>7.2388 * CHOOSE(CONTROL!$C$22, $C$13, 100%, $E$13)</f>
        <v>7.2388000000000003</v>
      </c>
      <c r="H464" s="61">
        <f>13.0817* CHOOSE(CONTROL!$C$22, $C$13, 100%, $E$13)</f>
        <v>13.0817</v>
      </c>
      <c r="I464" s="61">
        <f>13.0819 * CHOOSE(CONTROL!$C$22, $C$13, 100%, $E$13)</f>
        <v>13.081899999999999</v>
      </c>
      <c r="J464" s="61">
        <f>7.2386 * CHOOSE(CONTROL!$C$22, $C$13, 100%, $E$13)</f>
        <v>7.2385999999999999</v>
      </c>
      <c r="K464" s="61">
        <f>7.2388 * CHOOSE(CONTROL!$C$22, $C$13, 100%, $E$13)</f>
        <v>7.2388000000000003</v>
      </c>
    </row>
    <row r="465" spans="1:11" ht="15">
      <c r="A465" s="13">
        <v>56005</v>
      </c>
      <c r="B465" s="60">
        <f>6.3309 * CHOOSE(CONTROL!$C$22, $C$13, 100%, $E$13)</f>
        <v>6.3308999999999997</v>
      </c>
      <c r="C465" s="60">
        <f>6.3309 * CHOOSE(CONTROL!$C$22, $C$13, 100%, $E$13)</f>
        <v>6.3308999999999997</v>
      </c>
      <c r="D465" s="60">
        <f>6.3685 * CHOOSE(CONTROL!$C$22, $C$13, 100%, $E$13)</f>
        <v>6.3685</v>
      </c>
      <c r="E465" s="61">
        <f>7.2733 * CHOOSE(CONTROL!$C$22, $C$13, 100%, $E$13)</f>
        <v>7.2732999999999999</v>
      </c>
      <c r="F465" s="61">
        <f>7.2733 * CHOOSE(CONTROL!$C$22, $C$13, 100%, $E$13)</f>
        <v>7.2732999999999999</v>
      </c>
      <c r="G465" s="61">
        <f>7.2756 * CHOOSE(CONTROL!$C$22, $C$13, 100%, $E$13)</f>
        <v>7.2755999999999998</v>
      </c>
      <c r="H465" s="61">
        <f>13.109* CHOOSE(CONTROL!$C$22, $C$13, 100%, $E$13)</f>
        <v>13.109</v>
      </c>
      <c r="I465" s="61">
        <f>13.1113 * CHOOSE(CONTROL!$C$22, $C$13, 100%, $E$13)</f>
        <v>13.1113</v>
      </c>
      <c r="J465" s="61">
        <f>7.2733 * CHOOSE(CONTROL!$C$22, $C$13, 100%, $E$13)</f>
        <v>7.2732999999999999</v>
      </c>
      <c r="K465" s="61">
        <f>7.2756 * CHOOSE(CONTROL!$C$22, $C$13, 100%, $E$13)</f>
        <v>7.2755999999999998</v>
      </c>
    </row>
    <row r="466" spans="1:11" ht="15">
      <c r="A466" s="13">
        <v>56036</v>
      </c>
      <c r="B466" s="60">
        <f>6.337 * CHOOSE(CONTROL!$C$22, $C$13, 100%, $E$13)</f>
        <v>6.3369999999999997</v>
      </c>
      <c r="C466" s="60">
        <f>6.337 * CHOOSE(CONTROL!$C$22, $C$13, 100%, $E$13)</f>
        <v>6.3369999999999997</v>
      </c>
      <c r="D466" s="60">
        <f>6.3746 * CHOOSE(CONTROL!$C$22, $C$13, 100%, $E$13)</f>
        <v>6.3746</v>
      </c>
      <c r="E466" s="61">
        <f>7.2428 * CHOOSE(CONTROL!$C$22, $C$13, 100%, $E$13)</f>
        <v>7.2427999999999999</v>
      </c>
      <c r="F466" s="61">
        <f>7.2428 * CHOOSE(CONTROL!$C$22, $C$13, 100%, $E$13)</f>
        <v>7.2427999999999999</v>
      </c>
      <c r="G466" s="61">
        <f>7.2451 * CHOOSE(CONTROL!$C$22, $C$13, 100%, $E$13)</f>
        <v>7.2450999999999999</v>
      </c>
      <c r="H466" s="61">
        <f>13.1363* CHOOSE(CONTROL!$C$22, $C$13, 100%, $E$13)</f>
        <v>13.1363</v>
      </c>
      <c r="I466" s="61">
        <f>13.1386 * CHOOSE(CONTROL!$C$22, $C$13, 100%, $E$13)</f>
        <v>13.1386</v>
      </c>
      <c r="J466" s="61">
        <f>7.2428 * CHOOSE(CONTROL!$C$22, $C$13, 100%, $E$13)</f>
        <v>7.2427999999999999</v>
      </c>
      <c r="K466" s="61">
        <f>7.2451 * CHOOSE(CONTROL!$C$22, $C$13, 100%, $E$13)</f>
        <v>7.2450999999999999</v>
      </c>
    </row>
    <row r="467" spans="1:11" ht="15">
      <c r="A467" s="13">
        <v>56066</v>
      </c>
      <c r="B467" s="60">
        <f>6.4322 * CHOOSE(CONTROL!$C$22, $C$13, 100%, $E$13)</f>
        <v>6.4321999999999999</v>
      </c>
      <c r="C467" s="60">
        <f>6.4322 * CHOOSE(CONTROL!$C$22, $C$13, 100%, $E$13)</f>
        <v>6.4321999999999999</v>
      </c>
      <c r="D467" s="60">
        <f>6.4698 * CHOOSE(CONTROL!$C$22, $C$13, 100%, $E$13)</f>
        <v>6.4698000000000002</v>
      </c>
      <c r="E467" s="61">
        <f>7.3803 * CHOOSE(CONTROL!$C$22, $C$13, 100%, $E$13)</f>
        <v>7.3803000000000001</v>
      </c>
      <c r="F467" s="61">
        <f>7.3803 * CHOOSE(CONTROL!$C$22, $C$13, 100%, $E$13)</f>
        <v>7.3803000000000001</v>
      </c>
      <c r="G467" s="61">
        <f>7.3826 * CHOOSE(CONTROL!$C$22, $C$13, 100%, $E$13)</f>
        <v>7.3826000000000001</v>
      </c>
      <c r="H467" s="61">
        <f>13.1637* CHOOSE(CONTROL!$C$22, $C$13, 100%, $E$13)</f>
        <v>13.1637</v>
      </c>
      <c r="I467" s="61">
        <f>13.166 * CHOOSE(CONTROL!$C$22, $C$13, 100%, $E$13)</f>
        <v>13.166</v>
      </c>
      <c r="J467" s="61">
        <f>7.3803 * CHOOSE(CONTROL!$C$22, $C$13, 100%, $E$13)</f>
        <v>7.3803000000000001</v>
      </c>
      <c r="K467" s="61">
        <f>7.3826 * CHOOSE(CONTROL!$C$22, $C$13, 100%, $E$13)</f>
        <v>7.3826000000000001</v>
      </c>
    </row>
    <row r="468" spans="1:11" ht="15">
      <c r="A468" s="13">
        <v>56097</v>
      </c>
      <c r="B468" s="60">
        <f>6.4389 * CHOOSE(CONTROL!$C$22, $C$13, 100%, $E$13)</f>
        <v>6.4389000000000003</v>
      </c>
      <c r="C468" s="60">
        <f>6.4389 * CHOOSE(CONTROL!$C$22, $C$13, 100%, $E$13)</f>
        <v>6.4389000000000003</v>
      </c>
      <c r="D468" s="60">
        <f>6.4765 * CHOOSE(CONTROL!$C$22, $C$13, 100%, $E$13)</f>
        <v>6.4764999999999997</v>
      </c>
      <c r="E468" s="61">
        <f>7.2809 * CHOOSE(CONTROL!$C$22, $C$13, 100%, $E$13)</f>
        <v>7.2808999999999999</v>
      </c>
      <c r="F468" s="61">
        <f>7.2809 * CHOOSE(CONTROL!$C$22, $C$13, 100%, $E$13)</f>
        <v>7.2808999999999999</v>
      </c>
      <c r="G468" s="61">
        <f>7.2832 * CHOOSE(CONTROL!$C$22, $C$13, 100%, $E$13)</f>
        <v>7.2831999999999999</v>
      </c>
      <c r="H468" s="61">
        <f>13.1911* CHOOSE(CONTROL!$C$22, $C$13, 100%, $E$13)</f>
        <v>13.1911</v>
      </c>
      <c r="I468" s="61">
        <f>13.1934 * CHOOSE(CONTROL!$C$22, $C$13, 100%, $E$13)</f>
        <v>13.1934</v>
      </c>
      <c r="J468" s="61">
        <f>7.2809 * CHOOSE(CONTROL!$C$22, $C$13, 100%, $E$13)</f>
        <v>7.2808999999999999</v>
      </c>
      <c r="K468" s="61">
        <f>7.2832 * CHOOSE(CONTROL!$C$22, $C$13, 100%, $E$13)</f>
        <v>7.2831999999999999</v>
      </c>
    </row>
    <row r="469" spans="1:11" ht="15">
      <c r="A469" s="13">
        <v>56128</v>
      </c>
      <c r="B469" s="60">
        <f>6.4359 * CHOOSE(CONTROL!$C$22, $C$13, 100%, $E$13)</f>
        <v>6.4359000000000002</v>
      </c>
      <c r="C469" s="60">
        <f>6.4359 * CHOOSE(CONTROL!$C$22, $C$13, 100%, $E$13)</f>
        <v>6.4359000000000002</v>
      </c>
      <c r="D469" s="60">
        <f>6.4735 * CHOOSE(CONTROL!$C$22, $C$13, 100%, $E$13)</f>
        <v>6.4734999999999996</v>
      </c>
      <c r="E469" s="61">
        <f>7.2672 * CHOOSE(CONTROL!$C$22, $C$13, 100%, $E$13)</f>
        <v>7.2671999999999999</v>
      </c>
      <c r="F469" s="61">
        <f>7.2672 * CHOOSE(CONTROL!$C$22, $C$13, 100%, $E$13)</f>
        <v>7.2671999999999999</v>
      </c>
      <c r="G469" s="61">
        <f>7.2695 * CHOOSE(CONTROL!$C$22, $C$13, 100%, $E$13)</f>
        <v>7.2694999999999999</v>
      </c>
      <c r="H469" s="61">
        <f>13.2186* CHOOSE(CONTROL!$C$22, $C$13, 100%, $E$13)</f>
        <v>13.2186</v>
      </c>
      <c r="I469" s="61">
        <f>13.2209 * CHOOSE(CONTROL!$C$22, $C$13, 100%, $E$13)</f>
        <v>13.2209</v>
      </c>
      <c r="J469" s="61">
        <f>7.2672 * CHOOSE(CONTROL!$C$22, $C$13, 100%, $E$13)</f>
        <v>7.2671999999999999</v>
      </c>
      <c r="K469" s="61">
        <f>7.2695 * CHOOSE(CONTROL!$C$22, $C$13, 100%, $E$13)</f>
        <v>7.2694999999999999</v>
      </c>
    </row>
    <row r="470" spans="1:11" ht="15">
      <c r="A470" s="13">
        <v>56158</v>
      </c>
      <c r="B470" s="60">
        <f>6.4402 * CHOOSE(CONTROL!$C$22, $C$13, 100%, $E$13)</f>
        <v>6.4401999999999999</v>
      </c>
      <c r="C470" s="60">
        <f>6.4402 * CHOOSE(CONTROL!$C$22, $C$13, 100%, $E$13)</f>
        <v>6.4401999999999999</v>
      </c>
      <c r="D470" s="60">
        <f>6.4591 * CHOOSE(CONTROL!$C$22, $C$13, 100%, $E$13)</f>
        <v>6.4591000000000003</v>
      </c>
      <c r="E470" s="61">
        <f>7.3001 * CHOOSE(CONTROL!$C$22, $C$13, 100%, $E$13)</f>
        <v>7.3000999999999996</v>
      </c>
      <c r="F470" s="61">
        <f>7.3001 * CHOOSE(CONTROL!$C$22, $C$13, 100%, $E$13)</f>
        <v>7.3000999999999996</v>
      </c>
      <c r="G470" s="61">
        <f>7.3002 * CHOOSE(CONTROL!$C$22, $C$13, 100%, $E$13)</f>
        <v>7.3002000000000002</v>
      </c>
      <c r="H470" s="61">
        <f>13.2461* CHOOSE(CONTROL!$C$22, $C$13, 100%, $E$13)</f>
        <v>13.2461</v>
      </c>
      <c r="I470" s="61">
        <f>13.2463 * CHOOSE(CONTROL!$C$22, $C$13, 100%, $E$13)</f>
        <v>13.2463</v>
      </c>
      <c r="J470" s="61">
        <f>7.3001 * CHOOSE(CONTROL!$C$22, $C$13, 100%, $E$13)</f>
        <v>7.3000999999999996</v>
      </c>
      <c r="K470" s="61">
        <f>7.3002 * CHOOSE(CONTROL!$C$22, $C$13, 100%, $E$13)</f>
        <v>7.3002000000000002</v>
      </c>
    </row>
    <row r="471" spans="1:11" ht="15">
      <c r="A471" s="13">
        <v>56189</v>
      </c>
      <c r="B471" s="60">
        <f>6.4433 * CHOOSE(CONTROL!$C$22, $C$13, 100%, $E$13)</f>
        <v>6.4432999999999998</v>
      </c>
      <c r="C471" s="60">
        <f>6.4433 * CHOOSE(CONTROL!$C$22, $C$13, 100%, $E$13)</f>
        <v>6.4432999999999998</v>
      </c>
      <c r="D471" s="60">
        <f>6.4621 * CHOOSE(CONTROL!$C$22, $C$13, 100%, $E$13)</f>
        <v>6.4621000000000004</v>
      </c>
      <c r="E471" s="61">
        <f>7.3253 * CHOOSE(CONTROL!$C$22, $C$13, 100%, $E$13)</f>
        <v>7.3253000000000004</v>
      </c>
      <c r="F471" s="61">
        <f>7.3253 * CHOOSE(CONTROL!$C$22, $C$13, 100%, $E$13)</f>
        <v>7.3253000000000004</v>
      </c>
      <c r="G471" s="61">
        <f>7.3255 * CHOOSE(CONTROL!$C$22, $C$13, 100%, $E$13)</f>
        <v>7.3254999999999999</v>
      </c>
      <c r="H471" s="61">
        <f>13.2737* CHOOSE(CONTROL!$C$22, $C$13, 100%, $E$13)</f>
        <v>13.2737</v>
      </c>
      <c r="I471" s="61">
        <f>13.2739 * CHOOSE(CONTROL!$C$22, $C$13, 100%, $E$13)</f>
        <v>13.273899999999999</v>
      </c>
      <c r="J471" s="61">
        <f>7.3253 * CHOOSE(CONTROL!$C$22, $C$13, 100%, $E$13)</f>
        <v>7.3253000000000004</v>
      </c>
      <c r="K471" s="61">
        <f>7.3255 * CHOOSE(CONTROL!$C$22, $C$13, 100%, $E$13)</f>
        <v>7.3254999999999999</v>
      </c>
    </row>
    <row r="472" spans="1:11" ht="15">
      <c r="A472" s="13">
        <v>56219</v>
      </c>
      <c r="B472" s="60">
        <f>6.4433 * CHOOSE(CONTROL!$C$22, $C$13, 100%, $E$13)</f>
        <v>6.4432999999999998</v>
      </c>
      <c r="C472" s="60">
        <f>6.4433 * CHOOSE(CONTROL!$C$22, $C$13, 100%, $E$13)</f>
        <v>6.4432999999999998</v>
      </c>
      <c r="D472" s="60">
        <f>6.4621 * CHOOSE(CONTROL!$C$22, $C$13, 100%, $E$13)</f>
        <v>6.4621000000000004</v>
      </c>
      <c r="E472" s="61">
        <f>7.2675 * CHOOSE(CONTROL!$C$22, $C$13, 100%, $E$13)</f>
        <v>7.2675000000000001</v>
      </c>
      <c r="F472" s="61">
        <f>7.2675 * CHOOSE(CONTROL!$C$22, $C$13, 100%, $E$13)</f>
        <v>7.2675000000000001</v>
      </c>
      <c r="G472" s="61">
        <f>7.2677 * CHOOSE(CONTROL!$C$22, $C$13, 100%, $E$13)</f>
        <v>7.2676999999999996</v>
      </c>
      <c r="H472" s="61">
        <f>13.3014* CHOOSE(CONTROL!$C$22, $C$13, 100%, $E$13)</f>
        <v>13.301399999999999</v>
      </c>
      <c r="I472" s="61">
        <f>13.3015 * CHOOSE(CONTROL!$C$22, $C$13, 100%, $E$13)</f>
        <v>13.301500000000001</v>
      </c>
      <c r="J472" s="61">
        <f>7.2675 * CHOOSE(CONTROL!$C$22, $C$13, 100%, $E$13)</f>
        <v>7.2675000000000001</v>
      </c>
      <c r="K472" s="61">
        <f>7.2677 * CHOOSE(CONTROL!$C$22, $C$13, 100%, $E$13)</f>
        <v>7.2676999999999996</v>
      </c>
    </row>
    <row r="473" spans="1:11" ht="15">
      <c r="A473" s="13">
        <v>56250</v>
      </c>
      <c r="B473" s="60">
        <f>6.4979 * CHOOSE(CONTROL!$C$22, $C$13, 100%, $E$13)</f>
        <v>6.4978999999999996</v>
      </c>
      <c r="C473" s="60">
        <f>6.4979 * CHOOSE(CONTROL!$C$22, $C$13, 100%, $E$13)</f>
        <v>6.4978999999999996</v>
      </c>
      <c r="D473" s="60">
        <f>6.5167 * CHOOSE(CONTROL!$C$22, $C$13, 100%, $E$13)</f>
        <v>6.5167000000000002</v>
      </c>
      <c r="E473" s="61">
        <f>7.3793 * CHOOSE(CONTROL!$C$22, $C$13, 100%, $E$13)</f>
        <v>7.3792999999999997</v>
      </c>
      <c r="F473" s="61">
        <f>7.3793 * CHOOSE(CONTROL!$C$22, $C$13, 100%, $E$13)</f>
        <v>7.3792999999999997</v>
      </c>
      <c r="G473" s="61">
        <f>7.3794 * CHOOSE(CONTROL!$C$22, $C$13, 100%, $E$13)</f>
        <v>7.3794000000000004</v>
      </c>
      <c r="H473" s="61">
        <f>13.3291* CHOOSE(CONTROL!$C$22, $C$13, 100%, $E$13)</f>
        <v>13.3291</v>
      </c>
      <c r="I473" s="61">
        <f>13.3293 * CHOOSE(CONTROL!$C$22, $C$13, 100%, $E$13)</f>
        <v>13.3293</v>
      </c>
      <c r="J473" s="61">
        <f>7.3793 * CHOOSE(CONTROL!$C$22, $C$13, 100%, $E$13)</f>
        <v>7.3792999999999997</v>
      </c>
      <c r="K473" s="61">
        <f>7.3794 * CHOOSE(CONTROL!$C$22, $C$13, 100%, $E$13)</f>
        <v>7.3794000000000004</v>
      </c>
    </row>
    <row r="474" spans="1:11" ht="15">
      <c r="A474" s="13">
        <v>56281</v>
      </c>
      <c r="B474" s="60">
        <f>6.4948 * CHOOSE(CONTROL!$C$22, $C$13, 100%, $E$13)</f>
        <v>6.4947999999999997</v>
      </c>
      <c r="C474" s="60">
        <f>6.4948 * CHOOSE(CONTROL!$C$22, $C$13, 100%, $E$13)</f>
        <v>6.4947999999999997</v>
      </c>
      <c r="D474" s="60">
        <f>6.5136 * CHOOSE(CONTROL!$C$22, $C$13, 100%, $E$13)</f>
        <v>6.5136000000000003</v>
      </c>
      <c r="E474" s="61">
        <f>7.2644 * CHOOSE(CONTROL!$C$22, $C$13, 100%, $E$13)</f>
        <v>7.2644000000000002</v>
      </c>
      <c r="F474" s="61">
        <f>7.2644 * CHOOSE(CONTROL!$C$22, $C$13, 100%, $E$13)</f>
        <v>7.2644000000000002</v>
      </c>
      <c r="G474" s="61">
        <f>7.2646 * CHOOSE(CONTROL!$C$22, $C$13, 100%, $E$13)</f>
        <v>7.2645999999999997</v>
      </c>
      <c r="H474" s="61">
        <f>13.3569* CHOOSE(CONTROL!$C$22, $C$13, 100%, $E$13)</f>
        <v>13.3569</v>
      </c>
      <c r="I474" s="61">
        <f>13.357 * CHOOSE(CONTROL!$C$22, $C$13, 100%, $E$13)</f>
        <v>13.356999999999999</v>
      </c>
      <c r="J474" s="61">
        <f>7.2644 * CHOOSE(CONTROL!$C$22, $C$13, 100%, $E$13)</f>
        <v>7.2644000000000002</v>
      </c>
      <c r="K474" s="61">
        <f>7.2646 * CHOOSE(CONTROL!$C$22, $C$13, 100%, $E$13)</f>
        <v>7.2645999999999997</v>
      </c>
    </row>
    <row r="475" spans="1:11" ht="15">
      <c r="A475" s="13">
        <v>56309</v>
      </c>
      <c r="B475" s="60">
        <f>6.4918 * CHOOSE(CONTROL!$C$22, $C$13, 100%, $E$13)</f>
        <v>6.4917999999999996</v>
      </c>
      <c r="C475" s="60">
        <f>6.4918 * CHOOSE(CONTROL!$C$22, $C$13, 100%, $E$13)</f>
        <v>6.4917999999999996</v>
      </c>
      <c r="D475" s="60">
        <f>6.5106 * CHOOSE(CONTROL!$C$22, $C$13, 100%, $E$13)</f>
        <v>6.5106000000000002</v>
      </c>
      <c r="E475" s="61">
        <f>7.3512 * CHOOSE(CONTROL!$C$22, $C$13, 100%, $E$13)</f>
        <v>7.3512000000000004</v>
      </c>
      <c r="F475" s="61">
        <f>7.3512 * CHOOSE(CONTROL!$C$22, $C$13, 100%, $E$13)</f>
        <v>7.3512000000000004</v>
      </c>
      <c r="G475" s="61">
        <f>7.3513 * CHOOSE(CONTROL!$C$22, $C$13, 100%, $E$13)</f>
        <v>7.3513000000000002</v>
      </c>
      <c r="H475" s="61">
        <f>13.3847* CHOOSE(CONTROL!$C$22, $C$13, 100%, $E$13)</f>
        <v>13.3847</v>
      </c>
      <c r="I475" s="61">
        <f>13.3849 * CHOOSE(CONTROL!$C$22, $C$13, 100%, $E$13)</f>
        <v>13.3849</v>
      </c>
      <c r="J475" s="61">
        <f>7.3512 * CHOOSE(CONTROL!$C$22, $C$13, 100%, $E$13)</f>
        <v>7.3512000000000004</v>
      </c>
      <c r="K475" s="61">
        <f>7.3513 * CHOOSE(CONTROL!$C$22, $C$13, 100%, $E$13)</f>
        <v>7.3513000000000002</v>
      </c>
    </row>
    <row r="476" spans="1:11" ht="15">
      <c r="A476" s="13">
        <v>56340</v>
      </c>
      <c r="B476" s="60">
        <f>6.4919 * CHOOSE(CONTROL!$C$22, $C$13, 100%, $E$13)</f>
        <v>6.4919000000000002</v>
      </c>
      <c r="C476" s="60">
        <f>6.4919 * CHOOSE(CONTROL!$C$22, $C$13, 100%, $E$13)</f>
        <v>6.4919000000000002</v>
      </c>
      <c r="D476" s="60">
        <f>6.5107 * CHOOSE(CONTROL!$C$22, $C$13, 100%, $E$13)</f>
        <v>6.5106999999999999</v>
      </c>
      <c r="E476" s="61">
        <f>7.4424 * CHOOSE(CONTROL!$C$22, $C$13, 100%, $E$13)</f>
        <v>7.4424000000000001</v>
      </c>
      <c r="F476" s="61">
        <f>7.4424 * CHOOSE(CONTROL!$C$22, $C$13, 100%, $E$13)</f>
        <v>7.4424000000000001</v>
      </c>
      <c r="G476" s="61">
        <f>7.4426 * CHOOSE(CONTROL!$C$22, $C$13, 100%, $E$13)</f>
        <v>7.4425999999999997</v>
      </c>
      <c r="H476" s="61">
        <f>13.4126* CHOOSE(CONTROL!$C$22, $C$13, 100%, $E$13)</f>
        <v>13.412599999999999</v>
      </c>
      <c r="I476" s="61">
        <f>13.4127 * CHOOSE(CONTROL!$C$22, $C$13, 100%, $E$13)</f>
        <v>13.412699999999999</v>
      </c>
      <c r="J476" s="61">
        <f>7.4424 * CHOOSE(CONTROL!$C$22, $C$13, 100%, $E$13)</f>
        <v>7.4424000000000001</v>
      </c>
      <c r="K476" s="61">
        <f>7.4426 * CHOOSE(CONTROL!$C$22, $C$13, 100%, $E$13)</f>
        <v>7.4425999999999997</v>
      </c>
    </row>
    <row r="477" spans="1:11" ht="15">
      <c r="A477" s="13">
        <v>56370</v>
      </c>
      <c r="B477" s="60">
        <f>6.4919 * CHOOSE(CONTROL!$C$22, $C$13, 100%, $E$13)</f>
        <v>6.4919000000000002</v>
      </c>
      <c r="C477" s="60">
        <f>6.4919 * CHOOSE(CONTROL!$C$22, $C$13, 100%, $E$13)</f>
        <v>6.4919000000000002</v>
      </c>
      <c r="D477" s="60">
        <f>6.5295 * CHOOSE(CONTROL!$C$22, $C$13, 100%, $E$13)</f>
        <v>6.5294999999999996</v>
      </c>
      <c r="E477" s="61">
        <f>7.4782 * CHOOSE(CONTROL!$C$22, $C$13, 100%, $E$13)</f>
        <v>7.4782000000000002</v>
      </c>
      <c r="F477" s="61">
        <f>7.4782 * CHOOSE(CONTROL!$C$22, $C$13, 100%, $E$13)</f>
        <v>7.4782000000000002</v>
      </c>
      <c r="G477" s="61">
        <f>7.4805 * CHOOSE(CONTROL!$C$22, $C$13, 100%, $E$13)</f>
        <v>7.4805000000000001</v>
      </c>
      <c r="H477" s="61">
        <f>13.4405* CHOOSE(CONTROL!$C$22, $C$13, 100%, $E$13)</f>
        <v>13.4405</v>
      </c>
      <c r="I477" s="61">
        <f>13.4428 * CHOOSE(CONTROL!$C$22, $C$13, 100%, $E$13)</f>
        <v>13.4428</v>
      </c>
      <c r="J477" s="61">
        <f>7.4782 * CHOOSE(CONTROL!$C$22, $C$13, 100%, $E$13)</f>
        <v>7.4782000000000002</v>
      </c>
      <c r="K477" s="61">
        <f>7.4805 * CHOOSE(CONTROL!$C$22, $C$13, 100%, $E$13)</f>
        <v>7.4805000000000001</v>
      </c>
    </row>
    <row r="478" spans="1:11" ht="15">
      <c r="A478" s="13">
        <v>56401</v>
      </c>
      <c r="B478" s="60">
        <f>6.498 * CHOOSE(CONTROL!$C$22, $C$13, 100%, $E$13)</f>
        <v>6.4980000000000002</v>
      </c>
      <c r="C478" s="60">
        <f>6.498 * CHOOSE(CONTROL!$C$22, $C$13, 100%, $E$13)</f>
        <v>6.4980000000000002</v>
      </c>
      <c r="D478" s="60">
        <f>6.5356 * CHOOSE(CONTROL!$C$22, $C$13, 100%, $E$13)</f>
        <v>6.5355999999999996</v>
      </c>
      <c r="E478" s="61">
        <f>7.4466 * CHOOSE(CONTROL!$C$22, $C$13, 100%, $E$13)</f>
        <v>7.4466000000000001</v>
      </c>
      <c r="F478" s="61">
        <f>7.4466 * CHOOSE(CONTROL!$C$22, $C$13, 100%, $E$13)</f>
        <v>7.4466000000000001</v>
      </c>
      <c r="G478" s="61">
        <f>7.4489 * CHOOSE(CONTROL!$C$22, $C$13, 100%, $E$13)</f>
        <v>7.4489000000000001</v>
      </c>
      <c r="H478" s="61">
        <f>13.4685* CHOOSE(CONTROL!$C$22, $C$13, 100%, $E$13)</f>
        <v>13.468500000000001</v>
      </c>
      <c r="I478" s="61">
        <f>13.4708 * CHOOSE(CONTROL!$C$22, $C$13, 100%, $E$13)</f>
        <v>13.470800000000001</v>
      </c>
      <c r="J478" s="61">
        <f>7.4466 * CHOOSE(CONTROL!$C$22, $C$13, 100%, $E$13)</f>
        <v>7.4466000000000001</v>
      </c>
      <c r="K478" s="61">
        <f>7.4489 * CHOOSE(CONTROL!$C$22, $C$13, 100%, $E$13)</f>
        <v>7.4489000000000001</v>
      </c>
    </row>
    <row r="479" spans="1:11" ht="15">
      <c r="A479" s="13">
        <v>56431</v>
      </c>
      <c r="B479" s="60">
        <f>6.5953 * CHOOSE(CONTROL!$C$22, $C$13, 100%, $E$13)</f>
        <v>6.5952999999999999</v>
      </c>
      <c r="C479" s="60">
        <f>6.5953 * CHOOSE(CONTROL!$C$22, $C$13, 100%, $E$13)</f>
        <v>6.5952999999999999</v>
      </c>
      <c r="D479" s="60">
        <f>6.6329 * CHOOSE(CONTROL!$C$22, $C$13, 100%, $E$13)</f>
        <v>6.6329000000000002</v>
      </c>
      <c r="E479" s="61">
        <f>7.5877 * CHOOSE(CONTROL!$C$22, $C$13, 100%, $E$13)</f>
        <v>7.5876999999999999</v>
      </c>
      <c r="F479" s="61">
        <f>7.5877 * CHOOSE(CONTROL!$C$22, $C$13, 100%, $E$13)</f>
        <v>7.5876999999999999</v>
      </c>
      <c r="G479" s="61">
        <f>7.59 * CHOOSE(CONTROL!$C$22, $C$13, 100%, $E$13)</f>
        <v>7.59</v>
      </c>
      <c r="H479" s="61">
        <f>13.4966* CHOOSE(CONTROL!$C$22, $C$13, 100%, $E$13)</f>
        <v>13.496600000000001</v>
      </c>
      <c r="I479" s="61">
        <f>13.4989 * CHOOSE(CONTROL!$C$22, $C$13, 100%, $E$13)</f>
        <v>13.498900000000001</v>
      </c>
      <c r="J479" s="61">
        <f>7.5877 * CHOOSE(CONTROL!$C$22, $C$13, 100%, $E$13)</f>
        <v>7.5876999999999999</v>
      </c>
      <c r="K479" s="61">
        <f>7.59 * CHOOSE(CONTROL!$C$22, $C$13, 100%, $E$13)</f>
        <v>7.59</v>
      </c>
    </row>
    <row r="480" spans="1:11" ht="15">
      <c r="A480" s="13">
        <v>56462</v>
      </c>
      <c r="B480" s="60">
        <f>6.6019 * CHOOSE(CONTROL!$C$22, $C$13, 100%, $E$13)</f>
        <v>6.6018999999999997</v>
      </c>
      <c r="C480" s="60">
        <f>6.6019 * CHOOSE(CONTROL!$C$22, $C$13, 100%, $E$13)</f>
        <v>6.6018999999999997</v>
      </c>
      <c r="D480" s="60">
        <f>6.6396 * CHOOSE(CONTROL!$C$22, $C$13, 100%, $E$13)</f>
        <v>6.6395999999999997</v>
      </c>
      <c r="E480" s="61">
        <f>7.485 * CHOOSE(CONTROL!$C$22, $C$13, 100%, $E$13)</f>
        <v>7.4850000000000003</v>
      </c>
      <c r="F480" s="61">
        <f>7.485 * CHOOSE(CONTROL!$C$22, $C$13, 100%, $E$13)</f>
        <v>7.4850000000000003</v>
      </c>
      <c r="G480" s="61">
        <f>7.4873 * CHOOSE(CONTROL!$C$22, $C$13, 100%, $E$13)</f>
        <v>7.4873000000000003</v>
      </c>
      <c r="H480" s="61">
        <f>13.5247* CHOOSE(CONTROL!$C$22, $C$13, 100%, $E$13)</f>
        <v>13.524699999999999</v>
      </c>
      <c r="I480" s="61">
        <f>13.527 * CHOOSE(CONTROL!$C$22, $C$13, 100%, $E$13)</f>
        <v>13.526999999999999</v>
      </c>
      <c r="J480" s="61">
        <f>7.485 * CHOOSE(CONTROL!$C$22, $C$13, 100%, $E$13)</f>
        <v>7.4850000000000003</v>
      </c>
      <c r="K480" s="61">
        <f>7.4873 * CHOOSE(CONTROL!$C$22, $C$13, 100%, $E$13)</f>
        <v>7.4873000000000003</v>
      </c>
    </row>
    <row r="481" spans="1:11" ht="15">
      <c r="A481" s="13">
        <v>56493</v>
      </c>
      <c r="B481" s="60">
        <f>6.5989 * CHOOSE(CONTROL!$C$22, $C$13, 100%, $E$13)</f>
        <v>6.5989000000000004</v>
      </c>
      <c r="C481" s="60">
        <f>6.5989 * CHOOSE(CONTROL!$C$22, $C$13, 100%, $E$13)</f>
        <v>6.5989000000000004</v>
      </c>
      <c r="D481" s="60">
        <f>6.6365 * CHOOSE(CONTROL!$C$22, $C$13, 100%, $E$13)</f>
        <v>6.6364999999999998</v>
      </c>
      <c r="E481" s="61">
        <f>7.4709 * CHOOSE(CONTROL!$C$22, $C$13, 100%, $E$13)</f>
        <v>7.4709000000000003</v>
      </c>
      <c r="F481" s="61">
        <f>7.4709 * CHOOSE(CONTROL!$C$22, $C$13, 100%, $E$13)</f>
        <v>7.4709000000000003</v>
      </c>
      <c r="G481" s="61">
        <f>7.4732 * CHOOSE(CONTROL!$C$22, $C$13, 100%, $E$13)</f>
        <v>7.4732000000000003</v>
      </c>
      <c r="H481" s="61">
        <f>13.5529* CHOOSE(CONTROL!$C$22, $C$13, 100%, $E$13)</f>
        <v>13.552899999999999</v>
      </c>
      <c r="I481" s="61">
        <f>13.5552 * CHOOSE(CONTROL!$C$22, $C$13, 100%, $E$13)</f>
        <v>13.555199999999999</v>
      </c>
      <c r="J481" s="61">
        <f>7.4709 * CHOOSE(CONTROL!$C$22, $C$13, 100%, $E$13)</f>
        <v>7.4709000000000003</v>
      </c>
      <c r="K481" s="61">
        <f>7.4732 * CHOOSE(CONTROL!$C$22, $C$13, 100%, $E$13)</f>
        <v>7.4732000000000003</v>
      </c>
    </row>
    <row r="482" spans="1:11" ht="15">
      <c r="A482" s="13">
        <v>56523</v>
      </c>
      <c r="B482" s="60">
        <f>6.6039 * CHOOSE(CONTROL!$C$22, $C$13, 100%, $E$13)</f>
        <v>6.6039000000000003</v>
      </c>
      <c r="C482" s="60">
        <f>6.6039 * CHOOSE(CONTROL!$C$22, $C$13, 100%, $E$13)</f>
        <v>6.6039000000000003</v>
      </c>
      <c r="D482" s="60">
        <f>6.6227 * CHOOSE(CONTROL!$C$22, $C$13, 100%, $E$13)</f>
        <v>6.6227</v>
      </c>
      <c r="E482" s="61">
        <f>7.5052 * CHOOSE(CONTROL!$C$22, $C$13, 100%, $E$13)</f>
        <v>7.5052000000000003</v>
      </c>
      <c r="F482" s="61">
        <f>7.5052 * CHOOSE(CONTROL!$C$22, $C$13, 100%, $E$13)</f>
        <v>7.5052000000000003</v>
      </c>
      <c r="G482" s="61">
        <f>7.5054 * CHOOSE(CONTROL!$C$22, $C$13, 100%, $E$13)</f>
        <v>7.5053999999999998</v>
      </c>
      <c r="H482" s="61">
        <f>13.5811* CHOOSE(CONTROL!$C$22, $C$13, 100%, $E$13)</f>
        <v>13.581099999999999</v>
      </c>
      <c r="I482" s="61">
        <f>13.5813 * CHOOSE(CONTROL!$C$22, $C$13, 100%, $E$13)</f>
        <v>13.581300000000001</v>
      </c>
      <c r="J482" s="61">
        <f>7.5052 * CHOOSE(CONTROL!$C$22, $C$13, 100%, $E$13)</f>
        <v>7.5052000000000003</v>
      </c>
      <c r="K482" s="61">
        <f>7.5054 * CHOOSE(CONTROL!$C$22, $C$13, 100%, $E$13)</f>
        <v>7.5053999999999998</v>
      </c>
    </row>
    <row r="483" spans="1:11" ht="15">
      <c r="A483" s="13">
        <v>56554</v>
      </c>
      <c r="B483" s="60">
        <f>6.6069 * CHOOSE(CONTROL!$C$22, $C$13, 100%, $E$13)</f>
        <v>6.6069000000000004</v>
      </c>
      <c r="C483" s="60">
        <f>6.6069 * CHOOSE(CONTROL!$C$22, $C$13, 100%, $E$13)</f>
        <v>6.6069000000000004</v>
      </c>
      <c r="D483" s="60">
        <f>6.6257 * CHOOSE(CONTROL!$C$22, $C$13, 100%, $E$13)</f>
        <v>6.6257000000000001</v>
      </c>
      <c r="E483" s="61">
        <f>7.5312 * CHOOSE(CONTROL!$C$22, $C$13, 100%, $E$13)</f>
        <v>7.5312000000000001</v>
      </c>
      <c r="F483" s="61">
        <f>7.5312 * CHOOSE(CONTROL!$C$22, $C$13, 100%, $E$13)</f>
        <v>7.5312000000000001</v>
      </c>
      <c r="G483" s="61">
        <f>7.5314 * CHOOSE(CONTROL!$C$22, $C$13, 100%, $E$13)</f>
        <v>7.5313999999999997</v>
      </c>
      <c r="H483" s="61">
        <f>13.6094* CHOOSE(CONTROL!$C$22, $C$13, 100%, $E$13)</f>
        <v>13.609400000000001</v>
      </c>
      <c r="I483" s="61">
        <f>13.6096 * CHOOSE(CONTROL!$C$22, $C$13, 100%, $E$13)</f>
        <v>13.6096</v>
      </c>
      <c r="J483" s="61">
        <f>7.5312 * CHOOSE(CONTROL!$C$22, $C$13, 100%, $E$13)</f>
        <v>7.5312000000000001</v>
      </c>
      <c r="K483" s="61">
        <f>7.5314 * CHOOSE(CONTROL!$C$22, $C$13, 100%, $E$13)</f>
        <v>7.5313999999999997</v>
      </c>
    </row>
    <row r="484" spans="1:11" ht="15">
      <c r="A484" s="13">
        <v>56584</v>
      </c>
      <c r="B484" s="60">
        <f>6.6069 * CHOOSE(CONTROL!$C$22, $C$13, 100%, $E$13)</f>
        <v>6.6069000000000004</v>
      </c>
      <c r="C484" s="60">
        <f>6.6069 * CHOOSE(CONTROL!$C$22, $C$13, 100%, $E$13)</f>
        <v>6.6069000000000004</v>
      </c>
      <c r="D484" s="60">
        <f>6.6257 * CHOOSE(CONTROL!$C$22, $C$13, 100%, $E$13)</f>
        <v>6.6257000000000001</v>
      </c>
      <c r="E484" s="61">
        <f>7.4715 * CHOOSE(CONTROL!$C$22, $C$13, 100%, $E$13)</f>
        <v>7.4714999999999998</v>
      </c>
      <c r="F484" s="61">
        <f>7.4715 * CHOOSE(CONTROL!$C$22, $C$13, 100%, $E$13)</f>
        <v>7.4714999999999998</v>
      </c>
      <c r="G484" s="61">
        <f>7.4717 * CHOOSE(CONTROL!$C$22, $C$13, 100%, $E$13)</f>
        <v>7.4717000000000002</v>
      </c>
      <c r="H484" s="61">
        <f>13.6377* CHOOSE(CONTROL!$C$22, $C$13, 100%, $E$13)</f>
        <v>13.637700000000001</v>
      </c>
      <c r="I484" s="61">
        <f>13.6379 * CHOOSE(CONTROL!$C$22, $C$13, 100%, $E$13)</f>
        <v>13.6379</v>
      </c>
      <c r="J484" s="61">
        <f>7.4715 * CHOOSE(CONTROL!$C$22, $C$13, 100%, $E$13)</f>
        <v>7.4714999999999998</v>
      </c>
      <c r="K484" s="61">
        <f>7.4717 * CHOOSE(CONTROL!$C$22, $C$13, 100%, $E$13)</f>
        <v>7.4717000000000002</v>
      </c>
    </row>
    <row r="485" spans="1:11" ht="15">
      <c r="A485" s="13">
        <v>56615</v>
      </c>
      <c r="B485" s="60">
        <f>6.6628 * CHOOSE(CONTROL!$C$22, $C$13, 100%, $E$13)</f>
        <v>6.6627999999999998</v>
      </c>
      <c r="C485" s="60">
        <f>6.6628 * CHOOSE(CONTROL!$C$22, $C$13, 100%, $E$13)</f>
        <v>6.6627999999999998</v>
      </c>
      <c r="D485" s="60">
        <f>6.6816 * CHOOSE(CONTROL!$C$22, $C$13, 100%, $E$13)</f>
        <v>6.6816000000000004</v>
      </c>
      <c r="E485" s="61">
        <f>7.5866 * CHOOSE(CONTROL!$C$22, $C$13, 100%, $E$13)</f>
        <v>7.5865999999999998</v>
      </c>
      <c r="F485" s="61">
        <f>7.5866 * CHOOSE(CONTROL!$C$22, $C$13, 100%, $E$13)</f>
        <v>7.5865999999999998</v>
      </c>
      <c r="G485" s="61">
        <f>7.5867 * CHOOSE(CONTROL!$C$22, $C$13, 100%, $E$13)</f>
        <v>7.5867000000000004</v>
      </c>
      <c r="H485" s="61">
        <f>13.6662* CHOOSE(CONTROL!$C$22, $C$13, 100%, $E$13)</f>
        <v>13.6662</v>
      </c>
      <c r="I485" s="61">
        <f>13.6663 * CHOOSE(CONTROL!$C$22, $C$13, 100%, $E$13)</f>
        <v>13.6663</v>
      </c>
      <c r="J485" s="61">
        <f>7.5866 * CHOOSE(CONTROL!$C$22, $C$13, 100%, $E$13)</f>
        <v>7.5865999999999998</v>
      </c>
      <c r="K485" s="61">
        <f>7.5867 * CHOOSE(CONTROL!$C$22, $C$13, 100%, $E$13)</f>
        <v>7.5867000000000004</v>
      </c>
    </row>
    <row r="486" spans="1:11" ht="15">
      <c r="A486" s="13">
        <v>56646</v>
      </c>
      <c r="B486" s="60">
        <f>6.6597 * CHOOSE(CONTROL!$C$22, $C$13, 100%, $E$13)</f>
        <v>6.6597</v>
      </c>
      <c r="C486" s="60">
        <f>6.6597 * CHOOSE(CONTROL!$C$22, $C$13, 100%, $E$13)</f>
        <v>6.6597</v>
      </c>
      <c r="D486" s="60">
        <f>6.6786 * CHOOSE(CONTROL!$C$22, $C$13, 100%, $E$13)</f>
        <v>6.6786000000000003</v>
      </c>
      <c r="E486" s="61">
        <f>7.4681 * CHOOSE(CONTROL!$C$22, $C$13, 100%, $E$13)</f>
        <v>7.4680999999999997</v>
      </c>
      <c r="F486" s="61">
        <f>7.4681 * CHOOSE(CONTROL!$C$22, $C$13, 100%, $E$13)</f>
        <v>7.4680999999999997</v>
      </c>
      <c r="G486" s="61">
        <f>7.4683 * CHOOSE(CONTROL!$C$22, $C$13, 100%, $E$13)</f>
        <v>7.4683000000000002</v>
      </c>
      <c r="H486" s="61">
        <f>13.6946* CHOOSE(CONTROL!$C$22, $C$13, 100%, $E$13)</f>
        <v>13.694599999999999</v>
      </c>
      <c r="I486" s="61">
        <f>13.6948 * CHOOSE(CONTROL!$C$22, $C$13, 100%, $E$13)</f>
        <v>13.694800000000001</v>
      </c>
      <c r="J486" s="61">
        <f>7.4681 * CHOOSE(CONTROL!$C$22, $C$13, 100%, $E$13)</f>
        <v>7.4680999999999997</v>
      </c>
      <c r="K486" s="61">
        <f>7.4683 * CHOOSE(CONTROL!$C$22, $C$13, 100%, $E$13)</f>
        <v>7.4683000000000002</v>
      </c>
    </row>
    <row r="487" spans="1:11" ht="15">
      <c r="A487" s="13">
        <v>56674</v>
      </c>
      <c r="B487" s="60">
        <f>6.6567 * CHOOSE(CONTROL!$C$22, $C$13, 100%, $E$13)</f>
        <v>6.6566999999999998</v>
      </c>
      <c r="C487" s="60">
        <f>6.6567 * CHOOSE(CONTROL!$C$22, $C$13, 100%, $E$13)</f>
        <v>6.6566999999999998</v>
      </c>
      <c r="D487" s="60">
        <f>6.6755 * CHOOSE(CONTROL!$C$22, $C$13, 100%, $E$13)</f>
        <v>6.6755000000000004</v>
      </c>
      <c r="E487" s="61">
        <f>7.5577 * CHOOSE(CONTROL!$C$22, $C$13, 100%, $E$13)</f>
        <v>7.5576999999999996</v>
      </c>
      <c r="F487" s="61">
        <f>7.5577 * CHOOSE(CONTROL!$C$22, $C$13, 100%, $E$13)</f>
        <v>7.5576999999999996</v>
      </c>
      <c r="G487" s="61">
        <f>7.5579 * CHOOSE(CONTROL!$C$22, $C$13, 100%, $E$13)</f>
        <v>7.5579000000000001</v>
      </c>
      <c r="H487" s="61">
        <f>13.7232* CHOOSE(CONTROL!$C$22, $C$13, 100%, $E$13)</f>
        <v>13.7232</v>
      </c>
      <c r="I487" s="61">
        <f>13.7233 * CHOOSE(CONTROL!$C$22, $C$13, 100%, $E$13)</f>
        <v>13.7233</v>
      </c>
      <c r="J487" s="61">
        <f>7.5577 * CHOOSE(CONTROL!$C$22, $C$13, 100%, $E$13)</f>
        <v>7.5576999999999996</v>
      </c>
      <c r="K487" s="61">
        <f>7.5579 * CHOOSE(CONTROL!$C$22, $C$13, 100%, $E$13)</f>
        <v>7.5579000000000001</v>
      </c>
    </row>
    <row r="488" spans="1:11" ht="15">
      <c r="A488" s="13">
        <v>56705</v>
      </c>
      <c r="B488" s="60">
        <f>6.657 * CHOOSE(CONTROL!$C$22, $C$13, 100%, $E$13)</f>
        <v>6.657</v>
      </c>
      <c r="C488" s="60">
        <f>6.657 * CHOOSE(CONTROL!$C$22, $C$13, 100%, $E$13)</f>
        <v>6.657</v>
      </c>
      <c r="D488" s="60">
        <f>6.6758 * CHOOSE(CONTROL!$C$22, $C$13, 100%, $E$13)</f>
        <v>6.6757999999999997</v>
      </c>
      <c r="E488" s="61">
        <f>7.652 * CHOOSE(CONTROL!$C$22, $C$13, 100%, $E$13)</f>
        <v>7.6520000000000001</v>
      </c>
      <c r="F488" s="61">
        <f>7.652 * CHOOSE(CONTROL!$C$22, $C$13, 100%, $E$13)</f>
        <v>7.6520000000000001</v>
      </c>
      <c r="G488" s="61">
        <f>7.6521 * CHOOSE(CONTROL!$C$22, $C$13, 100%, $E$13)</f>
        <v>7.6520999999999999</v>
      </c>
      <c r="H488" s="61">
        <f>13.7517* CHOOSE(CONTROL!$C$22, $C$13, 100%, $E$13)</f>
        <v>13.7517</v>
      </c>
      <c r="I488" s="61">
        <f>13.7519 * CHOOSE(CONTROL!$C$22, $C$13, 100%, $E$13)</f>
        <v>13.751899999999999</v>
      </c>
      <c r="J488" s="61">
        <f>7.652 * CHOOSE(CONTROL!$C$22, $C$13, 100%, $E$13)</f>
        <v>7.6520000000000001</v>
      </c>
      <c r="K488" s="61">
        <f>7.6521 * CHOOSE(CONTROL!$C$22, $C$13, 100%, $E$13)</f>
        <v>7.6520999999999999</v>
      </c>
    </row>
    <row r="489" spans="1:11" ht="15">
      <c r="A489" s="13">
        <v>56735</v>
      </c>
      <c r="B489" s="60">
        <f>6.657 * CHOOSE(CONTROL!$C$22, $C$13, 100%, $E$13)</f>
        <v>6.657</v>
      </c>
      <c r="C489" s="60">
        <f>6.657 * CHOOSE(CONTROL!$C$22, $C$13, 100%, $E$13)</f>
        <v>6.657</v>
      </c>
      <c r="D489" s="60">
        <f>6.6946 * CHOOSE(CONTROL!$C$22, $C$13, 100%, $E$13)</f>
        <v>6.6946000000000003</v>
      </c>
      <c r="E489" s="61">
        <f>7.6889 * CHOOSE(CONTROL!$C$22, $C$13, 100%, $E$13)</f>
        <v>7.6889000000000003</v>
      </c>
      <c r="F489" s="61">
        <f>7.6889 * CHOOSE(CONTROL!$C$22, $C$13, 100%, $E$13)</f>
        <v>7.6889000000000003</v>
      </c>
      <c r="G489" s="61">
        <f>7.6912 * CHOOSE(CONTROL!$C$22, $C$13, 100%, $E$13)</f>
        <v>7.6912000000000003</v>
      </c>
      <c r="H489" s="61">
        <f>13.7804* CHOOSE(CONTROL!$C$22, $C$13, 100%, $E$13)</f>
        <v>13.7804</v>
      </c>
      <c r="I489" s="61">
        <f>13.7827 * CHOOSE(CONTROL!$C$22, $C$13, 100%, $E$13)</f>
        <v>13.7827</v>
      </c>
      <c r="J489" s="61">
        <f>7.6889 * CHOOSE(CONTROL!$C$22, $C$13, 100%, $E$13)</f>
        <v>7.6889000000000003</v>
      </c>
      <c r="K489" s="61">
        <f>7.6912 * CHOOSE(CONTROL!$C$22, $C$13, 100%, $E$13)</f>
        <v>7.6912000000000003</v>
      </c>
    </row>
    <row r="490" spans="1:11" ht="15">
      <c r="A490" s="13">
        <v>56766</v>
      </c>
      <c r="B490" s="60">
        <f>6.6631 * CHOOSE(CONTROL!$C$22, $C$13, 100%, $E$13)</f>
        <v>6.6631</v>
      </c>
      <c r="C490" s="60">
        <f>6.6631 * CHOOSE(CONTROL!$C$22, $C$13, 100%, $E$13)</f>
        <v>6.6631</v>
      </c>
      <c r="D490" s="60">
        <f>6.7007 * CHOOSE(CONTROL!$C$22, $C$13, 100%, $E$13)</f>
        <v>6.7007000000000003</v>
      </c>
      <c r="E490" s="61">
        <f>7.6562 * CHOOSE(CONTROL!$C$22, $C$13, 100%, $E$13)</f>
        <v>7.6562000000000001</v>
      </c>
      <c r="F490" s="61">
        <f>7.6562 * CHOOSE(CONTROL!$C$22, $C$13, 100%, $E$13)</f>
        <v>7.6562000000000001</v>
      </c>
      <c r="G490" s="61">
        <f>7.6585 * CHOOSE(CONTROL!$C$22, $C$13, 100%, $E$13)</f>
        <v>7.6585000000000001</v>
      </c>
      <c r="H490" s="61">
        <f>13.8091* CHOOSE(CONTROL!$C$22, $C$13, 100%, $E$13)</f>
        <v>13.809100000000001</v>
      </c>
      <c r="I490" s="61">
        <f>13.8114 * CHOOSE(CONTROL!$C$22, $C$13, 100%, $E$13)</f>
        <v>13.811400000000001</v>
      </c>
      <c r="J490" s="61">
        <f>7.6562 * CHOOSE(CONTROL!$C$22, $C$13, 100%, $E$13)</f>
        <v>7.6562000000000001</v>
      </c>
      <c r="K490" s="61">
        <f>7.6585 * CHOOSE(CONTROL!$C$22, $C$13, 100%, $E$13)</f>
        <v>7.6585000000000001</v>
      </c>
    </row>
    <row r="491" spans="1:11" ht="15">
      <c r="A491" s="13">
        <v>56796</v>
      </c>
      <c r="B491" s="60">
        <f>6.7624 * CHOOSE(CONTROL!$C$22, $C$13, 100%, $E$13)</f>
        <v>6.7624000000000004</v>
      </c>
      <c r="C491" s="60">
        <f>6.7624 * CHOOSE(CONTROL!$C$22, $C$13, 100%, $E$13)</f>
        <v>6.7624000000000004</v>
      </c>
      <c r="D491" s="60">
        <f>6.8001 * CHOOSE(CONTROL!$C$22, $C$13, 100%, $E$13)</f>
        <v>6.8000999999999996</v>
      </c>
      <c r="E491" s="61">
        <f>7.8009 * CHOOSE(CONTROL!$C$22, $C$13, 100%, $E$13)</f>
        <v>7.8009000000000004</v>
      </c>
      <c r="F491" s="61">
        <f>7.8009 * CHOOSE(CONTROL!$C$22, $C$13, 100%, $E$13)</f>
        <v>7.8009000000000004</v>
      </c>
      <c r="G491" s="61">
        <f>7.8032 * CHOOSE(CONTROL!$C$22, $C$13, 100%, $E$13)</f>
        <v>7.8032000000000004</v>
      </c>
      <c r="H491" s="61">
        <f>13.8379* CHOOSE(CONTROL!$C$22, $C$13, 100%, $E$13)</f>
        <v>13.837899999999999</v>
      </c>
      <c r="I491" s="61">
        <f>13.8402 * CHOOSE(CONTROL!$C$22, $C$13, 100%, $E$13)</f>
        <v>13.840199999999999</v>
      </c>
      <c r="J491" s="61">
        <f>7.8009 * CHOOSE(CONTROL!$C$22, $C$13, 100%, $E$13)</f>
        <v>7.8009000000000004</v>
      </c>
      <c r="K491" s="61">
        <f>7.8032 * CHOOSE(CONTROL!$C$22, $C$13, 100%, $E$13)</f>
        <v>7.8032000000000004</v>
      </c>
    </row>
    <row r="492" spans="1:11" ht="15">
      <c r="A492" s="13">
        <v>56827</v>
      </c>
      <c r="B492" s="60">
        <f>6.7691 * CHOOSE(CONTROL!$C$22, $C$13, 100%, $E$13)</f>
        <v>6.7690999999999999</v>
      </c>
      <c r="C492" s="60">
        <f>6.7691 * CHOOSE(CONTROL!$C$22, $C$13, 100%, $E$13)</f>
        <v>6.7690999999999999</v>
      </c>
      <c r="D492" s="60">
        <f>6.8067 * CHOOSE(CONTROL!$C$22, $C$13, 100%, $E$13)</f>
        <v>6.8067000000000002</v>
      </c>
      <c r="E492" s="61">
        <f>7.6948 * CHOOSE(CONTROL!$C$22, $C$13, 100%, $E$13)</f>
        <v>7.6947999999999999</v>
      </c>
      <c r="F492" s="61">
        <f>7.6948 * CHOOSE(CONTROL!$C$22, $C$13, 100%, $E$13)</f>
        <v>7.6947999999999999</v>
      </c>
      <c r="G492" s="61">
        <f>7.6971 * CHOOSE(CONTROL!$C$22, $C$13, 100%, $E$13)</f>
        <v>7.6970999999999998</v>
      </c>
      <c r="H492" s="61">
        <f>13.8667* CHOOSE(CONTROL!$C$22, $C$13, 100%, $E$13)</f>
        <v>13.8667</v>
      </c>
      <c r="I492" s="61">
        <f>13.869 * CHOOSE(CONTROL!$C$22, $C$13, 100%, $E$13)</f>
        <v>13.869</v>
      </c>
      <c r="J492" s="61">
        <f>7.6948 * CHOOSE(CONTROL!$C$22, $C$13, 100%, $E$13)</f>
        <v>7.6947999999999999</v>
      </c>
      <c r="K492" s="61">
        <f>7.6971 * CHOOSE(CONTROL!$C$22, $C$13, 100%, $E$13)</f>
        <v>7.6970999999999998</v>
      </c>
    </row>
    <row r="493" spans="1:11" ht="15">
      <c r="A493" s="13">
        <v>56858</v>
      </c>
      <c r="B493" s="60">
        <f>6.7661 * CHOOSE(CONTROL!$C$22, $C$13, 100%, $E$13)</f>
        <v>6.7660999999999998</v>
      </c>
      <c r="C493" s="60">
        <f>6.7661 * CHOOSE(CONTROL!$C$22, $C$13, 100%, $E$13)</f>
        <v>6.7660999999999998</v>
      </c>
      <c r="D493" s="60">
        <f>6.8037 * CHOOSE(CONTROL!$C$22, $C$13, 100%, $E$13)</f>
        <v>6.8037000000000001</v>
      </c>
      <c r="E493" s="61">
        <f>7.6803 * CHOOSE(CONTROL!$C$22, $C$13, 100%, $E$13)</f>
        <v>7.6802999999999999</v>
      </c>
      <c r="F493" s="61">
        <f>7.6803 * CHOOSE(CONTROL!$C$22, $C$13, 100%, $E$13)</f>
        <v>7.6802999999999999</v>
      </c>
      <c r="G493" s="61">
        <f>7.6827 * CHOOSE(CONTROL!$C$22, $C$13, 100%, $E$13)</f>
        <v>7.6826999999999996</v>
      </c>
      <c r="H493" s="61">
        <f>13.8956* CHOOSE(CONTROL!$C$22, $C$13, 100%, $E$13)</f>
        <v>13.8956</v>
      </c>
      <c r="I493" s="61">
        <f>13.8979 * CHOOSE(CONTROL!$C$22, $C$13, 100%, $E$13)</f>
        <v>13.8979</v>
      </c>
      <c r="J493" s="61">
        <f>7.6803 * CHOOSE(CONTROL!$C$22, $C$13, 100%, $E$13)</f>
        <v>7.6802999999999999</v>
      </c>
      <c r="K493" s="61">
        <f>7.6827 * CHOOSE(CONTROL!$C$22, $C$13, 100%, $E$13)</f>
        <v>7.6826999999999996</v>
      </c>
    </row>
    <row r="494" spans="1:11" ht="15">
      <c r="A494" s="13">
        <v>56888</v>
      </c>
      <c r="B494" s="60">
        <f>6.7717 * CHOOSE(CONTROL!$C$22, $C$13, 100%, $E$13)</f>
        <v>6.7717000000000001</v>
      </c>
      <c r="C494" s="60">
        <f>6.7717 * CHOOSE(CONTROL!$C$22, $C$13, 100%, $E$13)</f>
        <v>6.7717000000000001</v>
      </c>
      <c r="D494" s="60">
        <f>6.7905 * CHOOSE(CONTROL!$C$22, $C$13, 100%, $E$13)</f>
        <v>6.7904999999999998</v>
      </c>
      <c r="E494" s="61">
        <f>7.7162 * CHOOSE(CONTROL!$C$22, $C$13, 100%, $E$13)</f>
        <v>7.7161999999999997</v>
      </c>
      <c r="F494" s="61">
        <f>7.7162 * CHOOSE(CONTROL!$C$22, $C$13, 100%, $E$13)</f>
        <v>7.7161999999999997</v>
      </c>
      <c r="G494" s="61">
        <f>7.7163 * CHOOSE(CONTROL!$C$22, $C$13, 100%, $E$13)</f>
        <v>7.7163000000000004</v>
      </c>
      <c r="H494" s="61">
        <f>13.9245* CHOOSE(CONTROL!$C$22, $C$13, 100%, $E$13)</f>
        <v>13.9245</v>
      </c>
      <c r="I494" s="61">
        <f>13.9247 * CHOOSE(CONTROL!$C$22, $C$13, 100%, $E$13)</f>
        <v>13.9247</v>
      </c>
      <c r="J494" s="61">
        <f>7.7162 * CHOOSE(CONTROL!$C$22, $C$13, 100%, $E$13)</f>
        <v>7.7161999999999997</v>
      </c>
      <c r="K494" s="61">
        <f>7.7163 * CHOOSE(CONTROL!$C$22, $C$13, 100%, $E$13)</f>
        <v>7.7163000000000004</v>
      </c>
    </row>
    <row r="495" spans="1:11" ht="15">
      <c r="A495" s="13">
        <v>56919</v>
      </c>
      <c r="B495" s="60">
        <f>6.7747 * CHOOSE(CONTROL!$C$22, $C$13, 100%, $E$13)</f>
        <v>6.7747000000000002</v>
      </c>
      <c r="C495" s="60">
        <f>6.7747 * CHOOSE(CONTROL!$C$22, $C$13, 100%, $E$13)</f>
        <v>6.7747000000000002</v>
      </c>
      <c r="D495" s="60">
        <f>6.7936 * CHOOSE(CONTROL!$C$22, $C$13, 100%, $E$13)</f>
        <v>6.7935999999999996</v>
      </c>
      <c r="E495" s="61">
        <f>7.7429 * CHOOSE(CONTROL!$C$22, $C$13, 100%, $E$13)</f>
        <v>7.7428999999999997</v>
      </c>
      <c r="F495" s="61">
        <f>7.7429 * CHOOSE(CONTROL!$C$22, $C$13, 100%, $E$13)</f>
        <v>7.7428999999999997</v>
      </c>
      <c r="G495" s="61">
        <f>7.7431 * CHOOSE(CONTROL!$C$22, $C$13, 100%, $E$13)</f>
        <v>7.7431000000000001</v>
      </c>
      <c r="H495" s="61">
        <f>13.9536* CHOOSE(CONTROL!$C$22, $C$13, 100%, $E$13)</f>
        <v>13.9536</v>
      </c>
      <c r="I495" s="61">
        <f>13.9537 * CHOOSE(CONTROL!$C$22, $C$13, 100%, $E$13)</f>
        <v>13.9537</v>
      </c>
      <c r="J495" s="61">
        <f>7.7429 * CHOOSE(CONTROL!$C$22, $C$13, 100%, $E$13)</f>
        <v>7.7428999999999997</v>
      </c>
      <c r="K495" s="61">
        <f>7.7431 * CHOOSE(CONTROL!$C$22, $C$13, 100%, $E$13)</f>
        <v>7.7431000000000001</v>
      </c>
    </row>
    <row r="496" spans="1:11" ht="15">
      <c r="A496" s="13">
        <v>56949</v>
      </c>
      <c r="B496" s="60">
        <f>6.7747 * CHOOSE(CONTROL!$C$22, $C$13, 100%, $E$13)</f>
        <v>6.7747000000000002</v>
      </c>
      <c r="C496" s="60">
        <f>6.7747 * CHOOSE(CONTROL!$C$22, $C$13, 100%, $E$13)</f>
        <v>6.7747000000000002</v>
      </c>
      <c r="D496" s="60">
        <f>6.7936 * CHOOSE(CONTROL!$C$22, $C$13, 100%, $E$13)</f>
        <v>6.7935999999999996</v>
      </c>
      <c r="E496" s="61">
        <f>7.6814 * CHOOSE(CONTROL!$C$22, $C$13, 100%, $E$13)</f>
        <v>7.6814</v>
      </c>
      <c r="F496" s="61">
        <f>7.6814 * CHOOSE(CONTROL!$C$22, $C$13, 100%, $E$13)</f>
        <v>7.6814</v>
      </c>
      <c r="G496" s="61">
        <f>7.6815 * CHOOSE(CONTROL!$C$22, $C$13, 100%, $E$13)</f>
        <v>7.6814999999999998</v>
      </c>
      <c r="H496" s="61">
        <f>13.9826* CHOOSE(CONTROL!$C$22, $C$13, 100%, $E$13)</f>
        <v>13.9826</v>
      </c>
      <c r="I496" s="61">
        <f>13.9828 * CHOOSE(CONTROL!$C$22, $C$13, 100%, $E$13)</f>
        <v>13.982799999999999</v>
      </c>
      <c r="J496" s="61">
        <f>7.6814 * CHOOSE(CONTROL!$C$22, $C$13, 100%, $E$13)</f>
        <v>7.6814</v>
      </c>
      <c r="K496" s="61">
        <f>7.6815 * CHOOSE(CONTROL!$C$22, $C$13, 100%, $E$13)</f>
        <v>7.6814999999999998</v>
      </c>
    </row>
    <row r="497" spans="1:11" ht="15">
      <c r="A497" s="13">
        <v>56980</v>
      </c>
      <c r="B497" s="60">
        <f>6.8319 * CHOOSE(CONTROL!$C$22, $C$13, 100%, $E$13)</f>
        <v>6.8319000000000001</v>
      </c>
      <c r="C497" s="60">
        <f>6.8319 * CHOOSE(CONTROL!$C$22, $C$13, 100%, $E$13)</f>
        <v>6.8319000000000001</v>
      </c>
      <c r="D497" s="60">
        <f>6.8507 * CHOOSE(CONTROL!$C$22, $C$13, 100%, $E$13)</f>
        <v>6.8506999999999998</v>
      </c>
      <c r="E497" s="61">
        <f>7.7997 * CHOOSE(CONTROL!$C$22, $C$13, 100%, $E$13)</f>
        <v>7.7996999999999996</v>
      </c>
      <c r="F497" s="61">
        <f>7.7997 * CHOOSE(CONTROL!$C$22, $C$13, 100%, $E$13)</f>
        <v>7.7996999999999996</v>
      </c>
      <c r="G497" s="61">
        <f>7.7999 * CHOOSE(CONTROL!$C$22, $C$13, 100%, $E$13)</f>
        <v>7.7999000000000001</v>
      </c>
      <c r="H497" s="61">
        <f>14.0118* CHOOSE(CONTROL!$C$22, $C$13, 100%, $E$13)</f>
        <v>14.011799999999999</v>
      </c>
      <c r="I497" s="61">
        <f>14.0119 * CHOOSE(CONTROL!$C$22, $C$13, 100%, $E$13)</f>
        <v>14.011900000000001</v>
      </c>
      <c r="J497" s="61">
        <f>7.7997 * CHOOSE(CONTROL!$C$22, $C$13, 100%, $E$13)</f>
        <v>7.7996999999999996</v>
      </c>
      <c r="K497" s="61">
        <f>7.7999 * CHOOSE(CONTROL!$C$22, $C$13, 100%, $E$13)</f>
        <v>7.7999000000000001</v>
      </c>
    </row>
    <row r="498" spans="1:11" ht="15">
      <c r="A498" s="13">
        <v>57011</v>
      </c>
      <c r="B498" s="60">
        <f>6.8289 * CHOOSE(CONTROL!$C$22, $C$13, 100%, $E$13)</f>
        <v>6.8289</v>
      </c>
      <c r="C498" s="60">
        <f>6.8289 * CHOOSE(CONTROL!$C$22, $C$13, 100%, $E$13)</f>
        <v>6.8289</v>
      </c>
      <c r="D498" s="60">
        <f>6.8477 * CHOOSE(CONTROL!$C$22, $C$13, 100%, $E$13)</f>
        <v>6.8476999999999997</v>
      </c>
      <c r="E498" s="61">
        <f>7.6775 * CHOOSE(CONTROL!$C$22, $C$13, 100%, $E$13)</f>
        <v>7.6775000000000002</v>
      </c>
      <c r="F498" s="61">
        <f>7.6775 * CHOOSE(CONTROL!$C$22, $C$13, 100%, $E$13)</f>
        <v>7.6775000000000002</v>
      </c>
      <c r="G498" s="61">
        <f>7.6777 * CHOOSE(CONTROL!$C$22, $C$13, 100%, $E$13)</f>
        <v>7.6776999999999997</v>
      </c>
      <c r="H498" s="61">
        <f>14.0409* CHOOSE(CONTROL!$C$22, $C$13, 100%, $E$13)</f>
        <v>14.040900000000001</v>
      </c>
      <c r="I498" s="61">
        <f>14.0411 * CHOOSE(CONTROL!$C$22, $C$13, 100%, $E$13)</f>
        <v>14.0411</v>
      </c>
      <c r="J498" s="61">
        <f>7.6775 * CHOOSE(CONTROL!$C$22, $C$13, 100%, $E$13)</f>
        <v>7.6775000000000002</v>
      </c>
      <c r="K498" s="61">
        <f>7.6777 * CHOOSE(CONTROL!$C$22, $C$13, 100%, $E$13)</f>
        <v>7.6776999999999997</v>
      </c>
    </row>
    <row r="499" spans="1:11" ht="15">
      <c r="A499" s="13">
        <v>57040</v>
      </c>
      <c r="B499" s="60">
        <f>6.8258 * CHOOSE(CONTROL!$C$22, $C$13, 100%, $E$13)</f>
        <v>6.8258000000000001</v>
      </c>
      <c r="C499" s="60">
        <f>6.8258 * CHOOSE(CONTROL!$C$22, $C$13, 100%, $E$13)</f>
        <v>6.8258000000000001</v>
      </c>
      <c r="D499" s="60">
        <f>6.8446 * CHOOSE(CONTROL!$C$22, $C$13, 100%, $E$13)</f>
        <v>6.8445999999999998</v>
      </c>
      <c r="E499" s="61">
        <f>7.77 * CHOOSE(CONTROL!$C$22, $C$13, 100%, $E$13)</f>
        <v>7.77</v>
      </c>
      <c r="F499" s="61">
        <f>7.77 * CHOOSE(CONTROL!$C$22, $C$13, 100%, $E$13)</f>
        <v>7.77</v>
      </c>
      <c r="G499" s="61">
        <f>7.7702 * CHOOSE(CONTROL!$C$22, $C$13, 100%, $E$13)</f>
        <v>7.7702</v>
      </c>
      <c r="H499" s="61">
        <f>14.0702* CHOOSE(CONTROL!$C$22, $C$13, 100%, $E$13)</f>
        <v>14.0702</v>
      </c>
      <c r="I499" s="61">
        <f>14.0704 * CHOOSE(CONTROL!$C$22, $C$13, 100%, $E$13)</f>
        <v>14.070399999999999</v>
      </c>
      <c r="J499" s="61">
        <f>7.77 * CHOOSE(CONTROL!$C$22, $C$13, 100%, $E$13)</f>
        <v>7.77</v>
      </c>
      <c r="K499" s="61">
        <f>7.7702 * CHOOSE(CONTROL!$C$22, $C$13, 100%, $E$13)</f>
        <v>7.7702</v>
      </c>
    </row>
    <row r="500" spans="1:11" ht="15">
      <c r="A500" s="13">
        <v>57071</v>
      </c>
      <c r="B500" s="60">
        <f>6.8263 * CHOOSE(CONTROL!$C$22, $C$13, 100%, $E$13)</f>
        <v>6.8262999999999998</v>
      </c>
      <c r="C500" s="60">
        <f>6.8263 * CHOOSE(CONTROL!$C$22, $C$13, 100%, $E$13)</f>
        <v>6.8262999999999998</v>
      </c>
      <c r="D500" s="60">
        <f>6.8451 * CHOOSE(CONTROL!$C$22, $C$13, 100%, $E$13)</f>
        <v>6.8451000000000004</v>
      </c>
      <c r="E500" s="61">
        <f>7.8675 * CHOOSE(CONTROL!$C$22, $C$13, 100%, $E$13)</f>
        <v>7.8674999999999997</v>
      </c>
      <c r="F500" s="61">
        <f>7.8675 * CHOOSE(CONTROL!$C$22, $C$13, 100%, $E$13)</f>
        <v>7.8674999999999997</v>
      </c>
      <c r="G500" s="61">
        <f>7.8676 * CHOOSE(CONTROL!$C$22, $C$13, 100%, $E$13)</f>
        <v>7.8676000000000004</v>
      </c>
      <c r="H500" s="61">
        <f>14.0995* CHOOSE(CONTROL!$C$22, $C$13, 100%, $E$13)</f>
        <v>14.099500000000001</v>
      </c>
      <c r="I500" s="61">
        <f>14.0997 * CHOOSE(CONTROL!$C$22, $C$13, 100%, $E$13)</f>
        <v>14.0997</v>
      </c>
      <c r="J500" s="61">
        <f>7.8675 * CHOOSE(CONTROL!$C$22, $C$13, 100%, $E$13)</f>
        <v>7.8674999999999997</v>
      </c>
      <c r="K500" s="61">
        <f>7.8676 * CHOOSE(CONTROL!$C$22, $C$13, 100%, $E$13)</f>
        <v>7.8676000000000004</v>
      </c>
    </row>
    <row r="501" spans="1:11" ht="15">
      <c r="A501" s="13">
        <v>57101</v>
      </c>
      <c r="B501" s="60">
        <f>6.8263 * CHOOSE(CONTROL!$C$22, $C$13, 100%, $E$13)</f>
        <v>6.8262999999999998</v>
      </c>
      <c r="C501" s="60">
        <f>6.8263 * CHOOSE(CONTROL!$C$22, $C$13, 100%, $E$13)</f>
        <v>6.8262999999999998</v>
      </c>
      <c r="D501" s="60">
        <f>6.8639 * CHOOSE(CONTROL!$C$22, $C$13, 100%, $E$13)</f>
        <v>6.8639000000000001</v>
      </c>
      <c r="E501" s="61">
        <f>7.9056 * CHOOSE(CONTROL!$C$22, $C$13, 100%, $E$13)</f>
        <v>7.9055999999999997</v>
      </c>
      <c r="F501" s="61">
        <f>7.9056 * CHOOSE(CONTROL!$C$22, $C$13, 100%, $E$13)</f>
        <v>7.9055999999999997</v>
      </c>
      <c r="G501" s="61">
        <f>7.9079 * CHOOSE(CONTROL!$C$22, $C$13, 100%, $E$13)</f>
        <v>7.9078999999999997</v>
      </c>
      <c r="H501" s="61">
        <f>14.1289* CHOOSE(CONTROL!$C$22, $C$13, 100%, $E$13)</f>
        <v>14.1289</v>
      </c>
      <c r="I501" s="61">
        <f>14.1312 * CHOOSE(CONTROL!$C$22, $C$13, 100%, $E$13)</f>
        <v>14.1312</v>
      </c>
      <c r="J501" s="61">
        <f>7.9056 * CHOOSE(CONTROL!$C$22, $C$13, 100%, $E$13)</f>
        <v>7.9055999999999997</v>
      </c>
      <c r="K501" s="61">
        <f>7.9079 * CHOOSE(CONTROL!$C$22, $C$13, 100%, $E$13)</f>
        <v>7.9078999999999997</v>
      </c>
    </row>
    <row r="502" spans="1:11" ht="15">
      <c r="A502" s="13">
        <v>57132</v>
      </c>
      <c r="B502" s="60">
        <f>6.8323 * CHOOSE(CONTROL!$C$22, $C$13, 100%, $E$13)</f>
        <v>6.8323</v>
      </c>
      <c r="C502" s="60">
        <f>6.8323 * CHOOSE(CONTROL!$C$22, $C$13, 100%, $E$13)</f>
        <v>6.8323</v>
      </c>
      <c r="D502" s="60">
        <f>6.87 * CHOOSE(CONTROL!$C$22, $C$13, 100%, $E$13)</f>
        <v>6.87</v>
      </c>
      <c r="E502" s="61">
        <f>7.8717 * CHOOSE(CONTROL!$C$22, $C$13, 100%, $E$13)</f>
        <v>7.8716999999999997</v>
      </c>
      <c r="F502" s="61">
        <f>7.8717 * CHOOSE(CONTROL!$C$22, $C$13, 100%, $E$13)</f>
        <v>7.8716999999999997</v>
      </c>
      <c r="G502" s="61">
        <f>7.874 * CHOOSE(CONTROL!$C$22, $C$13, 100%, $E$13)</f>
        <v>7.8739999999999997</v>
      </c>
      <c r="H502" s="61">
        <f>14.1583* CHOOSE(CONTROL!$C$22, $C$13, 100%, $E$13)</f>
        <v>14.158300000000001</v>
      </c>
      <c r="I502" s="61">
        <f>14.1606 * CHOOSE(CONTROL!$C$22, $C$13, 100%, $E$13)</f>
        <v>14.160600000000001</v>
      </c>
      <c r="J502" s="61">
        <f>7.8717 * CHOOSE(CONTROL!$C$22, $C$13, 100%, $E$13)</f>
        <v>7.8716999999999997</v>
      </c>
      <c r="K502" s="61">
        <f>7.874 * CHOOSE(CONTROL!$C$22, $C$13, 100%, $E$13)</f>
        <v>7.8739999999999997</v>
      </c>
    </row>
    <row r="503" spans="1:11" ht="15">
      <c r="A503" s="13">
        <v>57162</v>
      </c>
      <c r="B503" s="60">
        <f>6.9339 * CHOOSE(CONTROL!$C$22, $C$13, 100%, $E$13)</f>
        <v>6.9339000000000004</v>
      </c>
      <c r="C503" s="60">
        <f>6.9339 * CHOOSE(CONTROL!$C$22, $C$13, 100%, $E$13)</f>
        <v>6.9339000000000004</v>
      </c>
      <c r="D503" s="60">
        <f>6.9715 * CHOOSE(CONTROL!$C$22, $C$13, 100%, $E$13)</f>
        <v>6.9714999999999998</v>
      </c>
      <c r="E503" s="61">
        <f>8.0202 * CHOOSE(CONTROL!$C$22, $C$13, 100%, $E$13)</f>
        <v>8.0202000000000009</v>
      </c>
      <c r="F503" s="61">
        <f>8.0202 * CHOOSE(CONTROL!$C$22, $C$13, 100%, $E$13)</f>
        <v>8.0202000000000009</v>
      </c>
      <c r="G503" s="61">
        <f>8.0225 * CHOOSE(CONTROL!$C$22, $C$13, 100%, $E$13)</f>
        <v>8.0225000000000009</v>
      </c>
      <c r="H503" s="61">
        <f>14.1878* CHOOSE(CONTROL!$C$22, $C$13, 100%, $E$13)</f>
        <v>14.187799999999999</v>
      </c>
      <c r="I503" s="61">
        <f>14.1901 * CHOOSE(CONTROL!$C$22, $C$13, 100%, $E$13)</f>
        <v>14.190099999999999</v>
      </c>
      <c r="J503" s="61">
        <f>8.0202 * CHOOSE(CONTROL!$C$22, $C$13, 100%, $E$13)</f>
        <v>8.0202000000000009</v>
      </c>
      <c r="K503" s="61">
        <f>8.0225 * CHOOSE(CONTROL!$C$22, $C$13, 100%, $E$13)</f>
        <v>8.0225000000000009</v>
      </c>
    </row>
    <row r="504" spans="1:11" ht="15">
      <c r="A504" s="13">
        <v>57193</v>
      </c>
      <c r="B504" s="60">
        <f>6.9406 * CHOOSE(CONTROL!$C$22, $C$13, 100%, $E$13)</f>
        <v>6.9405999999999999</v>
      </c>
      <c r="C504" s="60">
        <f>6.9406 * CHOOSE(CONTROL!$C$22, $C$13, 100%, $E$13)</f>
        <v>6.9405999999999999</v>
      </c>
      <c r="D504" s="60">
        <f>6.9782 * CHOOSE(CONTROL!$C$22, $C$13, 100%, $E$13)</f>
        <v>6.9782000000000002</v>
      </c>
      <c r="E504" s="61">
        <f>7.9105 * CHOOSE(CONTROL!$C$22, $C$13, 100%, $E$13)</f>
        <v>7.9104999999999999</v>
      </c>
      <c r="F504" s="61">
        <f>7.9105 * CHOOSE(CONTROL!$C$22, $C$13, 100%, $E$13)</f>
        <v>7.9104999999999999</v>
      </c>
      <c r="G504" s="61">
        <f>7.9128 * CHOOSE(CONTROL!$C$22, $C$13, 100%, $E$13)</f>
        <v>7.9127999999999998</v>
      </c>
      <c r="H504" s="61">
        <f>14.2174* CHOOSE(CONTROL!$C$22, $C$13, 100%, $E$13)</f>
        <v>14.2174</v>
      </c>
      <c r="I504" s="61">
        <f>14.2197 * CHOOSE(CONTROL!$C$22, $C$13, 100%, $E$13)</f>
        <v>14.2197</v>
      </c>
      <c r="J504" s="61">
        <f>7.9105 * CHOOSE(CONTROL!$C$22, $C$13, 100%, $E$13)</f>
        <v>7.9104999999999999</v>
      </c>
      <c r="K504" s="61">
        <f>7.9128 * CHOOSE(CONTROL!$C$22, $C$13, 100%, $E$13)</f>
        <v>7.9127999999999998</v>
      </c>
    </row>
    <row r="505" spans="1:11" ht="15">
      <c r="A505" s="13">
        <v>57224</v>
      </c>
      <c r="B505" s="60">
        <f>6.9375 * CHOOSE(CONTROL!$C$22, $C$13, 100%, $E$13)</f>
        <v>6.9375</v>
      </c>
      <c r="C505" s="60">
        <f>6.9375 * CHOOSE(CONTROL!$C$22, $C$13, 100%, $E$13)</f>
        <v>6.9375</v>
      </c>
      <c r="D505" s="60">
        <f>6.9751 * CHOOSE(CONTROL!$C$22, $C$13, 100%, $E$13)</f>
        <v>6.9751000000000003</v>
      </c>
      <c r="E505" s="61">
        <f>7.8957 * CHOOSE(CONTROL!$C$22, $C$13, 100%, $E$13)</f>
        <v>7.8956999999999997</v>
      </c>
      <c r="F505" s="61">
        <f>7.8957 * CHOOSE(CONTROL!$C$22, $C$13, 100%, $E$13)</f>
        <v>7.8956999999999997</v>
      </c>
      <c r="G505" s="61">
        <f>7.898 * CHOOSE(CONTROL!$C$22, $C$13, 100%, $E$13)</f>
        <v>7.8979999999999997</v>
      </c>
      <c r="H505" s="61">
        <f>14.247* CHOOSE(CONTROL!$C$22, $C$13, 100%, $E$13)</f>
        <v>14.247</v>
      </c>
      <c r="I505" s="61">
        <f>14.2493 * CHOOSE(CONTROL!$C$22, $C$13, 100%, $E$13)</f>
        <v>14.2493</v>
      </c>
      <c r="J505" s="61">
        <f>7.8957 * CHOOSE(CONTROL!$C$22, $C$13, 100%, $E$13)</f>
        <v>7.8956999999999997</v>
      </c>
      <c r="K505" s="61">
        <f>7.898 * CHOOSE(CONTROL!$C$22, $C$13, 100%, $E$13)</f>
        <v>7.8979999999999997</v>
      </c>
    </row>
    <row r="506" spans="1:11" ht="15">
      <c r="A506" s="13">
        <v>57254</v>
      </c>
      <c r="B506" s="60">
        <f>6.9438 * CHOOSE(CONTROL!$C$22, $C$13, 100%, $E$13)</f>
        <v>6.9438000000000004</v>
      </c>
      <c r="C506" s="60">
        <f>6.9438 * CHOOSE(CONTROL!$C$22, $C$13, 100%, $E$13)</f>
        <v>6.9438000000000004</v>
      </c>
      <c r="D506" s="60">
        <f>6.9626 * CHOOSE(CONTROL!$C$22, $C$13, 100%, $E$13)</f>
        <v>6.9626000000000001</v>
      </c>
      <c r="E506" s="61">
        <f>7.9331 * CHOOSE(CONTROL!$C$22, $C$13, 100%, $E$13)</f>
        <v>7.9330999999999996</v>
      </c>
      <c r="F506" s="61">
        <f>7.9331 * CHOOSE(CONTROL!$C$22, $C$13, 100%, $E$13)</f>
        <v>7.9330999999999996</v>
      </c>
      <c r="G506" s="61">
        <f>7.9332 * CHOOSE(CONTROL!$C$22, $C$13, 100%, $E$13)</f>
        <v>7.9332000000000003</v>
      </c>
      <c r="H506" s="61">
        <f>14.2767* CHOOSE(CONTROL!$C$22, $C$13, 100%, $E$13)</f>
        <v>14.2767</v>
      </c>
      <c r="I506" s="61">
        <f>14.2768 * CHOOSE(CONTROL!$C$22, $C$13, 100%, $E$13)</f>
        <v>14.2768</v>
      </c>
      <c r="J506" s="61">
        <f>7.9331 * CHOOSE(CONTROL!$C$22, $C$13, 100%, $E$13)</f>
        <v>7.9330999999999996</v>
      </c>
      <c r="K506" s="61">
        <f>7.9332 * CHOOSE(CONTROL!$C$22, $C$13, 100%, $E$13)</f>
        <v>7.9332000000000003</v>
      </c>
    </row>
    <row r="507" spans="1:11" ht="15">
      <c r="A507" s="13">
        <v>57285</v>
      </c>
      <c r="B507" s="60">
        <f>6.9468 * CHOOSE(CONTROL!$C$22, $C$13, 100%, $E$13)</f>
        <v>6.9467999999999996</v>
      </c>
      <c r="C507" s="60">
        <f>6.9468 * CHOOSE(CONTROL!$C$22, $C$13, 100%, $E$13)</f>
        <v>6.9467999999999996</v>
      </c>
      <c r="D507" s="60">
        <f>6.9656 * CHOOSE(CONTROL!$C$22, $C$13, 100%, $E$13)</f>
        <v>6.9656000000000002</v>
      </c>
      <c r="E507" s="61">
        <f>7.9606 * CHOOSE(CONTROL!$C$22, $C$13, 100%, $E$13)</f>
        <v>7.9606000000000003</v>
      </c>
      <c r="F507" s="61">
        <f>7.9606 * CHOOSE(CONTROL!$C$22, $C$13, 100%, $E$13)</f>
        <v>7.9606000000000003</v>
      </c>
      <c r="G507" s="61">
        <f>7.9608 * CHOOSE(CONTROL!$C$22, $C$13, 100%, $E$13)</f>
        <v>7.9607999999999999</v>
      </c>
      <c r="H507" s="61">
        <f>14.3064* CHOOSE(CONTROL!$C$22, $C$13, 100%, $E$13)</f>
        <v>14.3064</v>
      </c>
      <c r="I507" s="61">
        <f>14.3066 * CHOOSE(CONTROL!$C$22, $C$13, 100%, $E$13)</f>
        <v>14.3066</v>
      </c>
      <c r="J507" s="61">
        <f>7.9606 * CHOOSE(CONTROL!$C$22, $C$13, 100%, $E$13)</f>
        <v>7.9606000000000003</v>
      </c>
      <c r="K507" s="61">
        <f>7.9608 * CHOOSE(CONTROL!$C$22, $C$13, 100%, $E$13)</f>
        <v>7.9607999999999999</v>
      </c>
    </row>
    <row r="508" spans="1:11" ht="15">
      <c r="A508" s="13">
        <v>57315</v>
      </c>
      <c r="B508" s="60">
        <f>6.9468 * CHOOSE(CONTROL!$C$22, $C$13, 100%, $E$13)</f>
        <v>6.9467999999999996</v>
      </c>
      <c r="C508" s="60">
        <f>6.9468 * CHOOSE(CONTROL!$C$22, $C$13, 100%, $E$13)</f>
        <v>6.9467999999999996</v>
      </c>
      <c r="D508" s="60">
        <f>6.9656 * CHOOSE(CONTROL!$C$22, $C$13, 100%, $E$13)</f>
        <v>6.9656000000000002</v>
      </c>
      <c r="E508" s="61">
        <f>7.8971 * CHOOSE(CONTROL!$C$22, $C$13, 100%, $E$13)</f>
        <v>7.8971</v>
      </c>
      <c r="F508" s="61">
        <f>7.8971 * CHOOSE(CONTROL!$C$22, $C$13, 100%, $E$13)</f>
        <v>7.8971</v>
      </c>
      <c r="G508" s="61">
        <f>7.8972 * CHOOSE(CONTROL!$C$22, $C$13, 100%, $E$13)</f>
        <v>7.8971999999999998</v>
      </c>
      <c r="H508" s="61">
        <f>14.3362* CHOOSE(CONTROL!$C$22, $C$13, 100%, $E$13)</f>
        <v>14.3362</v>
      </c>
      <c r="I508" s="61">
        <f>14.3364 * CHOOSE(CONTROL!$C$22, $C$13, 100%, $E$13)</f>
        <v>14.336399999999999</v>
      </c>
      <c r="J508" s="61">
        <f>7.8971 * CHOOSE(CONTROL!$C$22, $C$13, 100%, $E$13)</f>
        <v>7.8971</v>
      </c>
      <c r="K508" s="61">
        <f>7.8972 * CHOOSE(CONTROL!$C$22, $C$13, 100%, $E$13)</f>
        <v>7.8971999999999998</v>
      </c>
    </row>
    <row r="509" spans="1:11" ht="15">
      <c r="A509" s="13">
        <v>57346</v>
      </c>
      <c r="B509" s="60">
        <f>7.0053 * CHOOSE(CONTROL!$C$22, $C$13, 100%, $E$13)</f>
        <v>7.0053000000000001</v>
      </c>
      <c r="C509" s="60">
        <f>7.0053 * CHOOSE(CONTROL!$C$22, $C$13, 100%, $E$13)</f>
        <v>7.0053000000000001</v>
      </c>
      <c r="D509" s="60">
        <f>7.0241 * CHOOSE(CONTROL!$C$22, $C$13, 100%, $E$13)</f>
        <v>7.0240999999999998</v>
      </c>
      <c r="E509" s="61">
        <f>8.0188 * CHOOSE(CONTROL!$C$22, $C$13, 100%, $E$13)</f>
        <v>8.0188000000000006</v>
      </c>
      <c r="F509" s="61">
        <f>8.0188 * CHOOSE(CONTROL!$C$22, $C$13, 100%, $E$13)</f>
        <v>8.0188000000000006</v>
      </c>
      <c r="G509" s="61">
        <f>8.019 * CHOOSE(CONTROL!$C$22, $C$13, 100%, $E$13)</f>
        <v>8.0190000000000001</v>
      </c>
      <c r="H509" s="61">
        <f>14.3661* CHOOSE(CONTROL!$C$22, $C$13, 100%, $E$13)</f>
        <v>14.366099999999999</v>
      </c>
      <c r="I509" s="61">
        <f>14.3663 * CHOOSE(CONTROL!$C$22, $C$13, 100%, $E$13)</f>
        <v>14.366300000000001</v>
      </c>
      <c r="J509" s="61">
        <f>8.0188 * CHOOSE(CONTROL!$C$22, $C$13, 100%, $E$13)</f>
        <v>8.0188000000000006</v>
      </c>
      <c r="K509" s="61">
        <f>8.019 * CHOOSE(CONTROL!$C$22, $C$13, 100%, $E$13)</f>
        <v>8.0190000000000001</v>
      </c>
    </row>
    <row r="510" spans="1:11" ht="15">
      <c r="A510" s="13">
        <v>57377</v>
      </c>
      <c r="B510" s="60">
        <f>7.0023 * CHOOSE(CONTROL!$C$22, $C$13, 100%, $E$13)</f>
        <v>7.0023</v>
      </c>
      <c r="C510" s="60">
        <f>7.0023 * CHOOSE(CONTROL!$C$22, $C$13, 100%, $E$13)</f>
        <v>7.0023</v>
      </c>
      <c r="D510" s="60">
        <f>7.0211 * CHOOSE(CONTROL!$C$22, $C$13, 100%, $E$13)</f>
        <v>7.0210999999999997</v>
      </c>
      <c r="E510" s="61">
        <f>7.8928 * CHOOSE(CONTROL!$C$22, $C$13, 100%, $E$13)</f>
        <v>7.8928000000000003</v>
      </c>
      <c r="F510" s="61">
        <f>7.8928 * CHOOSE(CONTROL!$C$22, $C$13, 100%, $E$13)</f>
        <v>7.8928000000000003</v>
      </c>
      <c r="G510" s="61">
        <f>7.893 * CHOOSE(CONTROL!$C$22, $C$13, 100%, $E$13)</f>
        <v>7.8929999999999998</v>
      </c>
      <c r="H510" s="61">
        <f>14.396* CHOOSE(CONTROL!$C$22, $C$13, 100%, $E$13)</f>
        <v>14.396000000000001</v>
      </c>
      <c r="I510" s="61">
        <f>14.3962 * CHOOSE(CONTROL!$C$22, $C$13, 100%, $E$13)</f>
        <v>14.3962</v>
      </c>
      <c r="J510" s="61">
        <f>7.8928 * CHOOSE(CONTROL!$C$22, $C$13, 100%, $E$13)</f>
        <v>7.8928000000000003</v>
      </c>
      <c r="K510" s="61">
        <f>7.893 * CHOOSE(CONTROL!$C$22, $C$13, 100%, $E$13)</f>
        <v>7.8929999999999998</v>
      </c>
    </row>
    <row r="511" spans="1:11" ht="15">
      <c r="A511" s="13">
        <v>57405</v>
      </c>
      <c r="B511" s="60">
        <f>6.9992 * CHOOSE(CONTROL!$C$22, $C$13, 100%, $E$13)</f>
        <v>6.9992000000000001</v>
      </c>
      <c r="C511" s="60">
        <f>6.9992 * CHOOSE(CONTROL!$C$22, $C$13, 100%, $E$13)</f>
        <v>6.9992000000000001</v>
      </c>
      <c r="D511" s="60">
        <f>7.018 * CHOOSE(CONTROL!$C$22, $C$13, 100%, $E$13)</f>
        <v>7.0179999999999998</v>
      </c>
      <c r="E511" s="61">
        <f>7.9884 * CHOOSE(CONTROL!$C$22, $C$13, 100%, $E$13)</f>
        <v>7.9884000000000004</v>
      </c>
      <c r="F511" s="61">
        <f>7.9884 * CHOOSE(CONTROL!$C$22, $C$13, 100%, $E$13)</f>
        <v>7.9884000000000004</v>
      </c>
      <c r="G511" s="61">
        <f>7.9886 * CHOOSE(CONTROL!$C$22, $C$13, 100%, $E$13)</f>
        <v>7.9885999999999999</v>
      </c>
      <c r="H511" s="61">
        <f>14.426* CHOOSE(CONTROL!$C$22, $C$13, 100%, $E$13)</f>
        <v>14.426</v>
      </c>
      <c r="I511" s="61">
        <f>14.4262 * CHOOSE(CONTROL!$C$22, $C$13, 100%, $E$13)</f>
        <v>14.4262</v>
      </c>
      <c r="J511" s="61">
        <f>7.9884 * CHOOSE(CONTROL!$C$22, $C$13, 100%, $E$13)</f>
        <v>7.9884000000000004</v>
      </c>
      <c r="K511" s="61">
        <f>7.9886 * CHOOSE(CONTROL!$C$22, $C$13, 100%, $E$13)</f>
        <v>7.9885999999999999</v>
      </c>
    </row>
    <row r="512" spans="1:11" ht="15">
      <c r="A512" s="13">
        <v>57436</v>
      </c>
      <c r="B512" s="60">
        <f>6.9999 * CHOOSE(CONTROL!$C$22, $C$13, 100%, $E$13)</f>
        <v>6.9999000000000002</v>
      </c>
      <c r="C512" s="60">
        <f>6.9999 * CHOOSE(CONTROL!$C$22, $C$13, 100%, $E$13)</f>
        <v>6.9999000000000002</v>
      </c>
      <c r="D512" s="60">
        <f>7.0187 * CHOOSE(CONTROL!$C$22, $C$13, 100%, $E$13)</f>
        <v>7.0186999999999999</v>
      </c>
      <c r="E512" s="61">
        <f>8.089 * CHOOSE(CONTROL!$C$22, $C$13, 100%, $E$13)</f>
        <v>8.0890000000000004</v>
      </c>
      <c r="F512" s="61">
        <f>8.089 * CHOOSE(CONTROL!$C$22, $C$13, 100%, $E$13)</f>
        <v>8.0890000000000004</v>
      </c>
      <c r="G512" s="61">
        <f>8.0892 * CHOOSE(CONTROL!$C$22, $C$13, 100%, $E$13)</f>
        <v>8.0891999999999999</v>
      </c>
      <c r="H512" s="61">
        <f>14.4561* CHOOSE(CONTROL!$C$22, $C$13, 100%, $E$13)</f>
        <v>14.456099999999999</v>
      </c>
      <c r="I512" s="61">
        <f>14.4562 * CHOOSE(CONTROL!$C$22, $C$13, 100%, $E$13)</f>
        <v>14.456200000000001</v>
      </c>
      <c r="J512" s="61">
        <f>8.089 * CHOOSE(CONTROL!$C$22, $C$13, 100%, $E$13)</f>
        <v>8.0890000000000004</v>
      </c>
      <c r="K512" s="61">
        <f>8.0892 * CHOOSE(CONTROL!$C$22, $C$13, 100%, $E$13)</f>
        <v>8.0891999999999999</v>
      </c>
    </row>
    <row r="513" spans="1:11" ht="15">
      <c r="A513" s="13">
        <v>57466</v>
      </c>
      <c r="B513" s="60">
        <f>6.9999 * CHOOSE(CONTROL!$C$22, $C$13, 100%, $E$13)</f>
        <v>6.9999000000000002</v>
      </c>
      <c r="C513" s="60">
        <f>6.9999 * CHOOSE(CONTROL!$C$22, $C$13, 100%, $E$13)</f>
        <v>6.9999000000000002</v>
      </c>
      <c r="D513" s="60">
        <f>7.0375 * CHOOSE(CONTROL!$C$22, $C$13, 100%, $E$13)</f>
        <v>7.0374999999999996</v>
      </c>
      <c r="E513" s="61">
        <f>8.1284 * CHOOSE(CONTROL!$C$22, $C$13, 100%, $E$13)</f>
        <v>8.1283999999999992</v>
      </c>
      <c r="F513" s="61">
        <f>8.1284 * CHOOSE(CONTROL!$C$22, $C$13, 100%, $E$13)</f>
        <v>8.1283999999999992</v>
      </c>
      <c r="G513" s="61">
        <f>8.1307 * CHOOSE(CONTROL!$C$22, $C$13, 100%, $E$13)</f>
        <v>8.1306999999999992</v>
      </c>
      <c r="H513" s="61">
        <f>14.4862* CHOOSE(CONTROL!$C$22, $C$13, 100%, $E$13)</f>
        <v>14.4862</v>
      </c>
      <c r="I513" s="61">
        <f>14.4885 * CHOOSE(CONTROL!$C$22, $C$13, 100%, $E$13)</f>
        <v>14.4885</v>
      </c>
      <c r="J513" s="61">
        <f>8.1284 * CHOOSE(CONTROL!$C$22, $C$13, 100%, $E$13)</f>
        <v>8.1283999999999992</v>
      </c>
      <c r="K513" s="61">
        <f>8.1307 * CHOOSE(CONTROL!$C$22, $C$13, 100%, $E$13)</f>
        <v>8.1306999999999992</v>
      </c>
    </row>
    <row r="514" spans="1:11" ht="15">
      <c r="A514" s="13">
        <v>57497</v>
      </c>
      <c r="B514" s="60">
        <f>7.0059 * CHOOSE(CONTROL!$C$22, $C$13, 100%, $E$13)</f>
        <v>7.0058999999999996</v>
      </c>
      <c r="C514" s="60">
        <f>7.0059 * CHOOSE(CONTROL!$C$22, $C$13, 100%, $E$13)</f>
        <v>7.0058999999999996</v>
      </c>
      <c r="D514" s="60">
        <f>7.0436 * CHOOSE(CONTROL!$C$22, $C$13, 100%, $E$13)</f>
        <v>7.0435999999999996</v>
      </c>
      <c r="E514" s="61">
        <f>8.0933 * CHOOSE(CONTROL!$C$22, $C$13, 100%, $E$13)</f>
        <v>8.0932999999999993</v>
      </c>
      <c r="F514" s="61">
        <f>8.0933 * CHOOSE(CONTROL!$C$22, $C$13, 100%, $E$13)</f>
        <v>8.0932999999999993</v>
      </c>
      <c r="G514" s="61">
        <f>8.0956 * CHOOSE(CONTROL!$C$22, $C$13, 100%, $E$13)</f>
        <v>8.0955999999999992</v>
      </c>
      <c r="H514" s="61">
        <f>14.5164* CHOOSE(CONTROL!$C$22, $C$13, 100%, $E$13)</f>
        <v>14.516400000000001</v>
      </c>
      <c r="I514" s="61">
        <f>14.5187 * CHOOSE(CONTROL!$C$22, $C$13, 100%, $E$13)</f>
        <v>14.518700000000001</v>
      </c>
      <c r="J514" s="61">
        <f>8.0933 * CHOOSE(CONTROL!$C$22, $C$13, 100%, $E$13)</f>
        <v>8.0932999999999993</v>
      </c>
      <c r="K514" s="61">
        <f>8.0956 * CHOOSE(CONTROL!$C$22, $C$13, 100%, $E$13)</f>
        <v>8.0955999999999992</v>
      </c>
    </row>
    <row r="515" spans="1:11" ht="15">
      <c r="A515" s="13">
        <v>57527</v>
      </c>
      <c r="B515" s="60">
        <f>7.1097 * CHOOSE(CONTROL!$C$22, $C$13, 100%, $E$13)</f>
        <v>7.1097000000000001</v>
      </c>
      <c r="C515" s="60">
        <f>7.1097 * CHOOSE(CONTROL!$C$22, $C$13, 100%, $E$13)</f>
        <v>7.1097000000000001</v>
      </c>
      <c r="D515" s="60">
        <f>7.1473 * CHOOSE(CONTROL!$C$22, $C$13, 100%, $E$13)</f>
        <v>7.1473000000000004</v>
      </c>
      <c r="E515" s="61">
        <f>8.2456 * CHOOSE(CONTROL!$C$22, $C$13, 100%, $E$13)</f>
        <v>8.2455999999999996</v>
      </c>
      <c r="F515" s="61">
        <f>8.2456 * CHOOSE(CONTROL!$C$22, $C$13, 100%, $E$13)</f>
        <v>8.2455999999999996</v>
      </c>
      <c r="G515" s="61">
        <f>8.2479 * CHOOSE(CONTROL!$C$22, $C$13, 100%, $E$13)</f>
        <v>8.2478999999999996</v>
      </c>
      <c r="H515" s="61">
        <f>14.5466* CHOOSE(CONTROL!$C$22, $C$13, 100%, $E$13)</f>
        <v>14.5466</v>
      </c>
      <c r="I515" s="61">
        <f>14.5489 * CHOOSE(CONTROL!$C$22, $C$13, 100%, $E$13)</f>
        <v>14.5489</v>
      </c>
      <c r="J515" s="61">
        <f>8.2456 * CHOOSE(CONTROL!$C$22, $C$13, 100%, $E$13)</f>
        <v>8.2455999999999996</v>
      </c>
      <c r="K515" s="61">
        <f>8.2479 * CHOOSE(CONTROL!$C$22, $C$13, 100%, $E$13)</f>
        <v>8.2478999999999996</v>
      </c>
    </row>
    <row r="516" spans="1:11" ht="15">
      <c r="A516" s="13">
        <v>57558</v>
      </c>
      <c r="B516" s="60">
        <f>7.1163 * CHOOSE(CONTROL!$C$22, $C$13, 100%, $E$13)</f>
        <v>7.1162999999999998</v>
      </c>
      <c r="C516" s="60">
        <f>7.1163 * CHOOSE(CONTROL!$C$22, $C$13, 100%, $E$13)</f>
        <v>7.1162999999999998</v>
      </c>
      <c r="D516" s="60">
        <f>7.154 * CHOOSE(CONTROL!$C$22, $C$13, 100%, $E$13)</f>
        <v>7.1539999999999999</v>
      </c>
      <c r="E516" s="61">
        <f>8.1323 * CHOOSE(CONTROL!$C$22, $C$13, 100%, $E$13)</f>
        <v>8.1323000000000008</v>
      </c>
      <c r="F516" s="61">
        <f>8.1323 * CHOOSE(CONTROL!$C$22, $C$13, 100%, $E$13)</f>
        <v>8.1323000000000008</v>
      </c>
      <c r="G516" s="61">
        <f>8.1346 * CHOOSE(CONTROL!$C$22, $C$13, 100%, $E$13)</f>
        <v>8.1346000000000007</v>
      </c>
      <c r="H516" s="61">
        <f>14.5769* CHOOSE(CONTROL!$C$22, $C$13, 100%, $E$13)</f>
        <v>14.5769</v>
      </c>
      <c r="I516" s="61">
        <f>14.5792 * CHOOSE(CONTROL!$C$22, $C$13, 100%, $E$13)</f>
        <v>14.5792</v>
      </c>
      <c r="J516" s="61">
        <f>8.1323 * CHOOSE(CONTROL!$C$22, $C$13, 100%, $E$13)</f>
        <v>8.1323000000000008</v>
      </c>
      <c r="K516" s="61">
        <f>8.1346 * CHOOSE(CONTROL!$C$22, $C$13, 100%, $E$13)</f>
        <v>8.1346000000000007</v>
      </c>
    </row>
    <row r="517" spans="1:11" ht="15">
      <c r="A517" s="13">
        <v>57589</v>
      </c>
      <c r="B517" s="60">
        <f>7.1133 * CHOOSE(CONTROL!$C$22, $C$13, 100%, $E$13)</f>
        <v>7.1132999999999997</v>
      </c>
      <c r="C517" s="60">
        <f>7.1133 * CHOOSE(CONTROL!$C$22, $C$13, 100%, $E$13)</f>
        <v>7.1132999999999997</v>
      </c>
      <c r="D517" s="60">
        <f>7.1509 * CHOOSE(CONTROL!$C$22, $C$13, 100%, $E$13)</f>
        <v>7.1509</v>
      </c>
      <c r="E517" s="61">
        <f>8.117 * CHOOSE(CONTROL!$C$22, $C$13, 100%, $E$13)</f>
        <v>8.1170000000000009</v>
      </c>
      <c r="F517" s="61">
        <f>8.117 * CHOOSE(CONTROL!$C$22, $C$13, 100%, $E$13)</f>
        <v>8.1170000000000009</v>
      </c>
      <c r="G517" s="61">
        <f>8.1194 * CHOOSE(CONTROL!$C$22, $C$13, 100%, $E$13)</f>
        <v>8.1194000000000006</v>
      </c>
      <c r="H517" s="61">
        <f>14.6073* CHOOSE(CONTROL!$C$22, $C$13, 100%, $E$13)</f>
        <v>14.6073</v>
      </c>
      <c r="I517" s="61">
        <f>14.6096 * CHOOSE(CONTROL!$C$22, $C$13, 100%, $E$13)</f>
        <v>14.6096</v>
      </c>
      <c r="J517" s="61">
        <f>8.117 * CHOOSE(CONTROL!$C$22, $C$13, 100%, $E$13)</f>
        <v>8.1170000000000009</v>
      </c>
      <c r="K517" s="61">
        <f>8.1194 * CHOOSE(CONTROL!$C$22, $C$13, 100%, $E$13)</f>
        <v>8.1194000000000006</v>
      </c>
    </row>
    <row r="518" spans="1:11" ht="15">
      <c r="A518" s="13">
        <v>57619</v>
      </c>
      <c r="B518" s="60">
        <f>7.1202 * CHOOSE(CONTROL!$C$22, $C$13, 100%, $E$13)</f>
        <v>7.1201999999999996</v>
      </c>
      <c r="C518" s="60">
        <f>7.1202 * CHOOSE(CONTROL!$C$22, $C$13, 100%, $E$13)</f>
        <v>7.1201999999999996</v>
      </c>
      <c r="D518" s="60">
        <f>7.139 * CHOOSE(CONTROL!$C$22, $C$13, 100%, $E$13)</f>
        <v>7.1390000000000002</v>
      </c>
      <c r="E518" s="61">
        <f>8.1561 * CHOOSE(CONTROL!$C$22, $C$13, 100%, $E$13)</f>
        <v>8.1561000000000003</v>
      </c>
      <c r="F518" s="61">
        <f>8.1561 * CHOOSE(CONTROL!$C$22, $C$13, 100%, $E$13)</f>
        <v>8.1561000000000003</v>
      </c>
      <c r="G518" s="61">
        <f>8.1562 * CHOOSE(CONTROL!$C$22, $C$13, 100%, $E$13)</f>
        <v>8.1562000000000001</v>
      </c>
      <c r="H518" s="61">
        <f>14.6377* CHOOSE(CONTROL!$C$22, $C$13, 100%, $E$13)</f>
        <v>14.637700000000001</v>
      </c>
      <c r="I518" s="61">
        <f>14.6379 * CHOOSE(CONTROL!$C$22, $C$13, 100%, $E$13)</f>
        <v>14.6379</v>
      </c>
      <c r="J518" s="61">
        <f>8.1561 * CHOOSE(CONTROL!$C$22, $C$13, 100%, $E$13)</f>
        <v>8.1561000000000003</v>
      </c>
      <c r="K518" s="61">
        <f>8.1562 * CHOOSE(CONTROL!$C$22, $C$13, 100%, $E$13)</f>
        <v>8.1562000000000001</v>
      </c>
    </row>
    <row r="519" spans="1:11" ht="15">
      <c r="A519" s="13">
        <v>57650</v>
      </c>
      <c r="B519" s="60">
        <f>7.1233 * CHOOSE(CONTROL!$C$22, $C$13, 100%, $E$13)</f>
        <v>7.1233000000000004</v>
      </c>
      <c r="C519" s="60">
        <f>7.1233 * CHOOSE(CONTROL!$C$22, $C$13, 100%, $E$13)</f>
        <v>7.1233000000000004</v>
      </c>
      <c r="D519" s="60">
        <f>7.1421 * CHOOSE(CONTROL!$C$22, $C$13, 100%, $E$13)</f>
        <v>7.1421000000000001</v>
      </c>
      <c r="E519" s="61">
        <f>8.1844 * CHOOSE(CONTROL!$C$22, $C$13, 100%, $E$13)</f>
        <v>8.1844000000000001</v>
      </c>
      <c r="F519" s="61">
        <f>8.1844 * CHOOSE(CONTROL!$C$22, $C$13, 100%, $E$13)</f>
        <v>8.1844000000000001</v>
      </c>
      <c r="G519" s="61">
        <f>8.1846 * CHOOSE(CONTROL!$C$22, $C$13, 100%, $E$13)</f>
        <v>8.1845999999999997</v>
      </c>
      <c r="H519" s="61">
        <f>14.6682* CHOOSE(CONTROL!$C$22, $C$13, 100%, $E$13)</f>
        <v>14.668200000000001</v>
      </c>
      <c r="I519" s="61">
        <f>14.6684 * CHOOSE(CONTROL!$C$22, $C$13, 100%, $E$13)</f>
        <v>14.6684</v>
      </c>
      <c r="J519" s="61">
        <f>8.1844 * CHOOSE(CONTROL!$C$22, $C$13, 100%, $E$13)</f>
        <v>8.1844000000000001</v>
      </c>
      <c r="K519" s="61">
        <f>8.1846 * CHOOSE(CONTROL!$C$22, $C$13, 100%, $E$13)</f>
        <v>8.1845999999999997</v>
      </c>
    </row>
    <row r="520" spans="1:11" ht="15">
      <c r="A520" s="13">
        <v>57680</v>
      </c>
      <c r="B520" s="60">
        <f>7.1233 * CHOOSE(CONTROL!$C$22, $C$13, 100%, $E$13)</f>
        <v>7.1233000000000004</v>
      </c>
      <c r="C520" s="60">
        <f>7.1233 * CHOOSE(CONTROL!$C$22, $C$13, 100%, $E$13)</f>
        <v>7.1233000000000004</v>
      </c>
      <c r="D520" s="60">
        <f>7.1421 * CHOOSE(CONTROL!$C$22, $C$13, 100%, $E$13)</f>
        <v>7.1421000000000001</v>
      </c>
      <c r="E520" s="61">
        <f>8.1189 * CHOOSE(CONTROL!$C$22, $C$13, 100%, $E$13)</f>
        <v>8.1189</v>
      </c>
      <c r="F520" s="61">
        <f>8.1189 * CHOOSE(CONTROL!$C$22, $C$13, 100%, $E$13)</f>
        <v>8.1189</v>
      </c>
      <c r="G520" s="61">
        <f>8.119 * CHOOSE(CONTROL!$C$22, $C$13, 100%, $E$13)</f>
        <v>8.1189999999999998</v>
      </c>
      <c r="H520" s="61">
        <f>14.6988* CHOOSE(CONTROL!$C$22, $C$13, 100%, $E$13)</f>
        <v>14.6988</v>
      </c>
      <c r="I520" s="61">
        <f>14.6989 * CHOOSE(CONTROL!$C$22, $C$13, 100%, $E$13)</f>
        <v>14.6989</v>
      </c>
      <c r="J520" s="61">
        <f>8.1189 * CHOOSE(CONTROL!$C$22, $C$13, 100%, $E$13)</f>
        <v>8.1189</v>
      </c>
      <c r="K520" s="61">
        <f>8.119 * CHOOSE(CONTROL!$C$22, $C$13, 100%, $E$13)</f>
        <v>8.1189999999999998</v>
      </c>
    </row>
    <row r="521" spans="1:11" ht="15">
      <c r="A521" s="13">
        <v>57711</v>
      </c>
      <c r="B521" s="60">
        <f>7.1831 * CHOOSE(CONTROL!$C$22, $C$13, 100%, $E$13)</f>
        <v>7.1830999999999996</v>
      </c>
      <c r="C521" s="60">
        <f>7.1831 * CHOOSE(CONTROL!$C$22, $C$13, 100%, $E$13)</f>
        <v>7.1830999999999996</v>
      </c>
      <c r="D521" s="60">
        <f>7.2019 * CHOOSE(CONTROL!$C$22, $C$13, 100%, $E$13)</f>
        <v>7.2019000000000002</v>
      </c>
      <c r="E521" s="61">
        <f>8.2442 * CHOOSE(CONTROL!$C$22, $C$13, 100%, $E$13)</f>
        <v>8.2441999999999993</v>
      </c>
      <c r="F521" s="61">
        <f>8.2442 * CHOOSE(CONTROL!$C$22, $C$13, 100%, $E$13)</f>
        <v>8.2441999999999993</v>
      </c>
      <c r="G521" s="61">
        <f>8.2443 * CHOOSE(CONTROL!$C$22, $C$13, 100%, $E$13)</f>
        <v>8.2443000000000008</v>
      </c>
      <c r="H521" s="61">
        <f>14.7294* CHOOSE(CONTROL!$C$22, $C$13, 100%, $E$13)</f>
        <v>14.7294</v>
      </c>
      <c r="I521" s="61">
        <f>14.7296 * CHOOSE(CONTROL!$C$22, $C$13, 100%, $E$13)</f>
        <v>14.7296</v>
      </c>
      <c r="J521" s="61">
        <f>8.2442 * CHOOSE(CONTROL!$C$22, $C$13, 100%, $E$13)</f>
        <v>8.2441999999999993</v>
      </c>
      <c r="K521" s="61">
        <f>8.2443 * CHOOSE(CONTROL!$C$22, $C$13, 100%, $E$13)</f>
        <v>8.2443000000000008</v>
      </c>
    </row>
    <row r="522" spans="1:11" ht="15">
      <c r="A522" s="13">
        <v>57742</v>
      </c>
      <c r="B522" s="60">
        <f>7.1801 * CHOOSE(CONTROL!$C$22, $C$13, 100%, $E$13)</f>
        <v>7.1801000000000004</v>
      </c>
      <c r="C522" s="60">
        <f>7.1801 * CHOOSE(CONTROL!$C$22, $C$13, 100%, $E$13)</f>
        <v>7.1801000000000004</v>
      </c>
      <c r="D522" s="60">
        <f>7.1989 * CHOOSE(CONTROL!$C$22, $C$13, 100%, $E$13)</f>
        <v>7.1989000000000001</v>
      </c>
      <c r="E522" s="61">
        <f>8.1142 * CHOOSE(CONTROL!$C$22, $C$13, 100%, $E$13)</f>
        <v>8.1142000000000003</v>
      </c>
      <c r="F522" s="61">
        <f>8.1142 * CHOOSE(CONTROL!$C$22, $C$13, 100%, $E$13)</f>
        <v>8.1142000000000003</v>
      </c>
      <c r="G522" s="61">
        <f>8.1144 * CHOOSE(CONTROL!$C$22, $C$13, 100%, $E$13)</f>
        <v>8.1143999999999998</v>
      </c>
      <c r="H522" s="61">
        <f>14.7601* CHOOSE(CONTROL!$C$22, $C$13, 100%, $E$13)</f>
        <v>14.7601</v>
      </c>
      <c r="I522" s="61">
        <f>14.7602 * CHOOSE(CONTROL!$C$22, $C$13, 100%, $E$13)</f>
        <v>14.760199999999999</v>
      </c>
      <c r="J522" s="61">
        <f>8.1142 * CHOOSE(CONTROL!$C$22, $C$13, 100%, $E$13)</f>
        <v>8.1142000000000003</v>
      </c>
      <c r="K522" s="61">
        <f>8.1144 * CHOOSE(CONTROL!$C$22, $C$13, 100%, $E$13)</f>
        <v>8.1143999999999998</v>
      </c>
    </row>
    <row r="523" spans="1:11" ht="15">
      <c r="A523" s="13">
        <v>57770</v>
      </c>
      <c r="B523" s="60">
        <f>7.1771 * CHOOSE(CONTROL!$C$22, $C$13, 100%, $E$13)</f>
        <v>7.1771000000000003</v>
      </c>
      <c r="C523" s="60">
        <f>7.1771 * CHOOSE(CONTROL!$C$22, $C$13, 100%, $E$13)</f>
        <v>7.1771000000000003</v>
      </c>
      <c r="D523" s="60">
        <f>7.1959 * CHOOSE(CONTROL!$C$22, $C$13, 100%, $E$13)</f>
        <v>7.1959</v>
      </c>
      <c r="E523" s="61">
        <f>8.2129 * CHOOSE(CONTROL!$C$22, $C$13, 100%, $E$13)</f>
        <v>8.2128999999999994</v>
      </c>
      <c r="F523" s="61">
        <f>8.2129 * CHOOSE(CONTROL!$C$22, $C$13, 100%, $E$13)</f>
        <v>8.2128999999999994</v>
      </c>
      <c r="G523" s="61">
        <f>8.2131 * CHOOSE(CONTROL!$C$22, $C$13, 100%, $E$13)</f>
        <v>8.2131000000000007</v>
      </c>
      <c r="H523" s="61">
        <f>14.7908* CHOOSE(CONTROL!$C$22, $C$13, 100%, $E$13)</f>
        <v>14.790800000000001</v>
      </c>
      <c r="I523" s="61">
        <f>14.791 * CHOOSE(CONTROL!$C$22, $C$13, 100%, $E$13)</f>
        <v>14.791</v>
      </c>
      <c r="J523" s="61">
        <f>8.2129 * CHOOSE(CONTROL!$C$22, $C$13, 100%, $E$13)</f>
        <v>8.2128999999999994</v>
      </c>
      <c r="K523" s="61">
        <f>8.2131 * CHOOSE(CONTROL!$C$22, $C$13, 100%, $E$13)</f>
        <v>8.2131000000000007</v>
      </c>
    </row>
    <row r="524" spans="1:11" ht="15">
      <c r="A524" s="13">
        <v>57801</v>
      </c>
      <c r="B524" s="60">
        <f>7.1779 * CHOOSE(CONTROL!$C$22, $C$13, 100%, $E$13)</f>
        <v>7.1779000000000002</v>
      </c>
      <c r="C524" s="60">
        <f>7.1779 * CHOOSE(CONTROL!$C$22, $C$13, 100%, $E$13)</f>
        <v>7.1779000000000002</v>
      </c>
      <c r="D524" s="60">
        <f>7.1967 * CHOOSE(CONTROL!$C$22, $C$13, 100%, $E$13)</f>
        <v>7.1966999999999999</v>
      </c>
      <c r="E524" s="61">
        <f>8.3169 * CHOOSE(CONTROL!$C$22, $C$13, 100%, $E$13)</f>
        <v>8.3169000000000004</v>
      </c>
      <c r="F524" s="61">
        <f>8.3169 * CHOOSE(CONTROL!$C$22, $C$13, 100%, $E$13)</f>
        <v>8.3169000000000004</v>
      </c>
      <c r="G524" s="61">
        <f>8.317 * CHOOSE(CONTROL!$C$22, $C$13, 100%, $E$13)</f>
        <v>8.3170000000000002</v>
      </c>
      <c r="H524" s="61">
        <f>14.8216* CHOOSE(CONTROL!$C$22, $C$13, 100%, $E$13)</f>
        <v>14.8216</v>
      </c>
      <c r="I524" s="61">
        <f>14.8218 * CHOOSE(CONTROL!$C$22, $C$13, 100%, $E$13)</f>
        <v>14.8218</v>
      </c>
      <c r="J524" s="61">
        <f>8.3169 * CHOOSE(CONTROL!$C$22, $C$13, 100%, $E$13)</f>
        <v>8.3169000000000004</v>
      </c>
      <c r="K524" s="61">
        <f>8.317 * CHOOSE(CONTROL!$C$22, $C$13, 100%, $E$13)</f>
        <v>8.3170000000000002</v>
      </c>
    </row>
    <row r="525" spans="1:11" ht="15">
      <c r="A525" s="13">
        <v>57831</v>
      </c>
      <c r="B525" s="60">
        <f>7.1779 * CHOOSE(CONTROL!$C$22, $C$13, 100%, $E$13)</f>
        <v>7.1779000000000002</v>
      </c>
      <c r="C525" s="60">
        <f>7.1779 * CHOOSE(CONTROL!$C$22, $C$13, 100%, $E$13)</f>
        <v>7.1779000000000002</v>
      </c>
      <c r="D525" s="60">
        <f>7.2155 * CHOOSE(CONTROL!$C$22, $C$13, 100%, $E$13)</f>
        <v>7.2154999999999996</v>
      </c>
      <c r="E525" s="61">
        <f>8.3574 * CHOOSE(CONTROL!$C$22, $C$13, 100%, $E$13)</f>
        <v>8.3574000000000002</v>
      </c>
      <c r="F525" s="61">
        <f>8.3574 * CHOOSE(CONTROL!$C$22, $C$13, 100%, $E$13)</f>
        <v>8.3574000000000002</v>
      </c>
      <c r="G525" s="61">
        <f>8.3597 * CHOOSE(CONTROL!$C$22, $C$13, 100%, $E$13)</f>
        <v>8.3597000000000001</v>
      </c>
      <c r="H525" s="61">
        <f>14.8525* CHOOSE(CONTROL!$C$22, $C$13, 100%, $E$13)</f>
        <v>14.852499999999999</v>
      </c>
      <c r="I525" s="61">
        <f>14.8548 * CHOOSE(CONTROL!$C$22, $C$13, 100%, $E$13)</f>
        <v>14.854799999999999</v>
      </c>
      <c r="J525" s="61">
        <f>8.3574 * CHOOSE(CONTROL!$C$22, $C$13, 100%, $E$13)</f>
        <v>8.3574000000000002</v>
      </c>
      <c r="K525" s="61">
        <f>8.3597 * CHOOSE(CONTROL!$C$22, $C$13, 100%, $E$13)</f>
        <v>8.3597000000000001</v>
      </c>
    </row>
    <row r="526" spans="1:11" ht="15">
      <c r="A526" s="13">
        <v>57862</v>
      </c>
      <c r="B526" s="60">
        <f>7.1839 * CHOOSE(CONTROL!$C$22, $C$13, 100%, $E$13)</f>
        <v>7.1839000000000004</v>
      </c>
      <c r="C526" s="60">
        <f>7.1839 * CHOOSE(CONTROL!$C$22, $C$13, 100%, $E$13)</f>
        <v>7.1839000000000004</v>
      </c>
      <c r="D526" s="60">
        <f>7.2216 * CHOOSE(CONTROL!$C$22, $C$13, 100%, $E$13)</f>
        <v>7.2215999999999996</v>
      </c>
      <c r="E526" s="61">
        <f>8.3211 * CHOOSE(CONTROL!$C$22, $C$13, 100%, $E$13)</f>
        <v>8.3210999999999995</v>
      </c>
      <c r="F526" s="61">
        <f>8.3211 * CHOOSE(CONTROL!$C$22, $C$13, 100%, $E$13)</f>
        <v>8.3210999999999995</v>
      </c>
      <c r="G526" s="61">
        <f>8.3234 * CHOOSE(CONTROL!$C$22, $C$13, 100%, $E$13)</f>
        <v>8.3233999999999995</v>
      </c>
      <c r="H526" s="61">
        <f>14.8835* CHOOSE(CONTROL!$C$22, $C$13, 100%, $E$13)</f>
        <v>14.8835</v>
      </c>
      <c r="I526" s="61">
        <f>14.8858 * CHOOSE(CONTROL!$C$22, $C$13, 100%, $E$13)</f>
        <v>14.8858</v>
      </c>
      <c r="J526" s="61">
        <f>8.3211 * CHOOSE(CONTROL!$C$22, $C$13, 100%, $E$13)</f>
        <v>8.3210999999999995</v>
      </c>
      <c r="K526" s="61">
        <f>8.3234 * CHOOSE(CONTROL!$C$22, $C$13, 100%, $E$13)</f>
        <v>8.3233999999999995</v>
      </c>
    </row>
    <row r="527" spans="1:11" ht="15">
      <c r="A527" s="13">
        <v>57892</v>
      </c>
      <c r="B527" s="60">
        <f>7.2899 * CHOOSE(CONTROL!$C$22, $C$13, 100%, $E$13)</f>
        <v>7.2899000000000003</v>
      </c>
      <c r="C527" s="60">
        <f>7.2899 * CHOOSE(CONTROL!$C$22, $C$13, 100%, $E$13)</f>
        <v>7.2899000000000003</v>
      </c>
      <c r="D527" s="60">
        <f>7.3275 * CHOOSE(CONTROL!$C$22, $C$13, 100%, $E$13)</f>
        <v>7.3274999999999997</v>
      </c>
      <c r="E527" s="61">
        <f>8.4774 * CHOOSE(CONTROL!$C$22, $C$13, 100%, $E$13)</f>
        <v>8.4773999999999994</v>
      </c>
      <c r="F527" s="61">
        <f>8.4774 * CHOOSE(CONTROL!$C$22, $C$13, 100%, $E$13)</f>
        <v>8.4773999999999994</v>
      </c>
      <c r="G527" s="61">
        <f>8.4797 * CHOOSE(CONTROL!$C$22, $C$13, 100%, $E$13)</f>
        <v>8.4796999999999993</v>
      </c>
      <c r="H527" s="61">
        <f>14.9145* CHOOSE(CONTROL!$C$22, $C$13, 100%, $E$13)</f>
        <v>14.9145</v>
      </c>
      <c r="I527" s="61">
        <f>14.9168 * CHOOSE(CONTROL!$C$22, $C$13, 100%, $E$13)</f>
        <v>14.9168</v>
      </c>
      <c r="J527" s="61">
        <f>8.4774 * CHOOSE(CONTROL!$C$22, $C$13, 100%, $E$13)</f>
        <v>8.4773999999999994</v>
      </c>
      <c r="K527" s="61">
        <f>8.4797 * CHOOSE(CONTROL!$C$22, $C$13, 100%, $E$13)</f>
        <v>8.4796999999999993</v>
      </c>
    </row>
    <row r="528" spans="1:11" ht="15">
      <c r="A528" s="13">
        <v>57923</v>
      </c>
      <c r="B528" s="60">
        <f>7.2966 * CHOOSE(CONTROL!$C$22, $C$13, 100%, $E$13)</f>
        <v>7.2965999999999998</v>
      </c>
      <c r="C528" s="60">
        <f>7.2966 * CHOOSE(CONTROL!$C$22, $C$13, 100%, $E$13)</f>
        <v>7.2965999999999998</v>
      </c>
      <c r="D528" s="60">
        <f>7.3342 * CHOOSE(CONTROL!$C$22, $C$13, 100%, $E$13)</f>
        <v>7.3342000000000001</v>
      </c>
      <c r="E528" s="61">
        <f>8.3603 * CHOOSE(CONTROL!$C$22, $C$13, 100%, $E$13)</f>
        <v>8.3603000000000005</v>
      </c>
      <c r="F528" s="61">
        <f>8.3603 * CHOOSE(CONTROL!$C$22, $C$13, 100%, $E$13)</f>
        <v>8.3603000000000005</v>
      </c>
      <c r="G528" s="61">
        <f>8.3626 * CHOOSE(CONTROL!$C$22, $C$13, 100%, $E$13)</f>
        <v>8.3626000000000005</v>
      </c>
      <c r="H528" s="61">
        <f>14.9455* CHOOSE(CONTROL!$C$22, $C$13, 100%, $E$13)</f>
        <v>14.945499999999999</v>
      </c>
      <c r="I528" s="61">
        <f>14.9478 * CHOOSE(CONTROL!$C$22, $C$13, 100%, $E$13)</f>
        <v>14.947800000000001</v>
      </c>
      <c r="J528" s="61">
        <f>8.3603 * CHOOSE(CONTROL!$C$22, $C$13, 100%, $E$13)</f>
        <v>8.3603000000000005</v>
      </c>
      <c r="K528" s="61">
        <f>8.3626 * CHOOSE(CONTROL!$C$22, $C$13, 100%, $E$13)</f>
        <v>8.3626000000000005</v>
      </c>
    </row>
    <row r="529" spans="1:11" ht="15">
      <c r="A529" s="13">
        <v>57954</v>
      </c>
      <c r="B529" s="60">
        <f>7.2936 * CHOOSE(CONTROL!$C$22, $C$13, 100%, $E$13)</f>
        <v>7.2935999999999996</v>
      </c>
      <c r="C529" s="60">
        <f>7.2936 * CHOOSE(CONTROL!$C$22, $C$13, 100%, $E$13)</f>
        <v>7.2935999999999996</v>
      </c>
      <c r="D529" s="60">
        <f>7.3312 * CHOOSE(CONTROL!$C$22, $C$13, 100%, $E$13)</f>
        <v>7.3311999999999999</v>
      </c>
      <c r="E529" s="61">
        <f>8.3447 * CHOOSE(CONTROL!$C$22, $C$13, 100%, $E$13)</f>
        <v>8.3446999999999996</v>
      </c>
      <c r="F529" s="61">
        <f>8.3447 * CHOOSE(CONTROL!$C$22, $C$13, 100%, $E$13)</f>
        <v>8.3446999999999996</v>
      </c>
      <c r="G529" s="61">
        <f>8.347 * CHOOSE(CONTROL!$C$22, $C$13, 100%, $E$13)</f>
        <v>8.3469999999999995</v>
      </c>
      <c r="H529" s="61">
        <f>14.9767* CHOOSE(CONTROL!$C$22, $C$13, 100%, $E$13)</f>
        <v>14.976699999999999</v>
      </c>
      <c r="I529" s="61">
        <f>14.979 * CHOOSE(CONTROL!$C$22, $C$13, 100%, $E$13)</f>
        <v>14.978999999999999</v>
      </c>
      <c r="J529" s="61">
        <f>8.3447 * CHOOSE(CONTROL!$C$22, $C$13, 100%, $E$13)</f>
        <v>8.3446999999999996</v>
      </c>
      <c r="K529" s="61">
        <f>8.347 * CHOOSE(CONTROL!$C$22, $C$13, 100%, $E$13)</f>
        <v>8.3469999999999995</v>
      </c>
    </row>
    <row r="530" spans="1:11" ht="15">
      <c r="A530" s="13">
        <v>57984</v>
      </c>
      <c r="B530" s="60">
        <f>7.3012 * CHOOSE(CONTROL!$C$22, $C$13, 100%, $E$13)</f>
        <v>7.3011999999999997</v>
      </c>
      <c r="C530" s="60">
        <f>7.3012 * CHOOSE(CONTROL!$C$22, $C$13, 100%, $E$13)</f>
        <v>7.3011999999999997</v>
      </c>
      <c r="D530" s="60">
        <f>7.32 * CHOOSE(CONTROL!$C$22, $C$13, 100%, $E$13)</f>
        <v>7.32</v>
      </c>
      <c r="E530" s="61">
        <f>8.3854 * CHOOSE(CONTROL!$C$22, $C$13, 100%, $E$13)</f>
        <v>8.3854000000000006</v>
      </c>
      <c r="F530" s="61">
        <f>8.3854 * CHOOSE(CONTROL!$C$22, $C$13, 100%, $E$13)</f>
        <v>8.3854000000000006</v>
      </c>
      <c r="G530" s="61">
        <f>8.3855 * CHOOSE(CONTROL!$C$22, $C$13, 100%, $E$13)</f>
        <v>8.3855000000000004</v>
      </c>
      <c r="H530" s="61">
        <f>15.0079* CHOOSE(CONTROL!$C$22, $C$13, 100%, $E$13)</f>
        <v>15.007899999999999</v>
      </c>
      <c r="I530" s="61">
        <f>15.008 * CHOOSE(CONTROL!$C$22, $C$13, 100%, $E$13)</f>
        <v>15.007999999999999</v>
      </c>
      <c r="J530" s="61">
        <f>8.3854 * CHOOSE(CONTROL!$C$22, $C$13, 100%, $E$13)</f>
        <v>8.3854000000000006</v>
      </c>
      <c r="K530" s="61">
        <f>8.3855 * CHOOSE(CONTROL!$C$22, $C$13, 100%, $E$13)</f>
        <v>8.3855000000000004</v>
      </c>
    </row>
    <row r="531" spans="1:11" ht="15">
      <c r="A531" s="13">
        <v>58015</v>
      </c>
      <c r="B531" s="60">
        <f>7.3042 * CHOOSE(CONTROL!$C$22, $C$13, 100%, $E$13)</f>
        <v>7.3041999999999998</v>
      </c>
      <c r="C531" s="60">
        <f>7.3042 * CHOOSE(CONTROL!$C$22, $C$13, 100%, $E$13)</f>
        <v>7.3041999999999998</v>
      </c>
      <c r="D531" s="60">
        <f>7.323 * CHOOSE(CONTROL!$C$22, $C$13, 100%, $E$13)</f>
        <v>7.3230000000000004</v>
      </c>
      <c r="E531" s="61">
        <f>8.4145 * CHOOSE(CONTROL!$C$22, $C$13, 100%, $E$13)</f>
        <v>8.4145000000000003</v>
      </c>
      <c r="F531" s="61">
        <f>8.4145 * CHOOSE(CONTROL!$C$22, $C$13, 100%, $E$13)</f>
        <v>8.4145000000000003</v>
      </c>
      <c r="G531" s="61">
        <f>8.4147 * CHOOSE(CONTROL!$C$22, $C$13, 100%, $E$13)</f>
        <v>8.4146999999999998</v>
      </c>
      <c r="H531" s="61">
        <f>15.0391* CHOOSE(CONTROL!$C$22, $C$13, 100%, $E$13)</f>
        <v>15.039099999999999</v>
      </c>
      <c r="I531" s="61">
        <f>15.0393 * CHOOSE(CONTROL!$C$22, $C$13, 100%, $E$13)</f>
        <v>15.039300000000001</v>
      </c>
      <c r="J531" s="61">
        <f>8.4145 * CHOOSE(CONTROL!$C$22, $C$13, 100%, $E$13)</f>
        <v>8.4145000000000003</v>
      </c>
      <c r="K531" s="61">
        <f>8.4147 * CHOOSE(CONTROL!$C$22, $C$13, 100%, $E$13)</f>
        <v>8.4146999999999998</v>
      </c>
    </row>
    <row r="532" spans="1:11" ht="15">
      <c r="A532" s="13">
        <v>58045</v>
      </c>
      <c r="B532" s="60">
        <f>7.3042 * CHOOSE(CONTROL!$C$22, $C$13, 100%, $E$13)</f>
        <v>7.3041999999999998</v>
      </c>
      <c r="C532" s="60">
        <f>7.3042 * CHOOSE(CONTROL!$C$22, $C$13, 100%, $E$13)</f>
        <v>7.3041999999999998</v>
      </c>
      <c r="D532" s="60">
        <f>7.323 * CHOOSE(CONTROL!$C$22, $C$13, 100%, $E$13)</f>
        <v>7.3230000000000004</v>
      </c>
      <c r="E532" s="61">
        <f>8.3469 * CHOOSE(CONTROL!$C$22, $C$13, 100%, $E$13)</f>
        <v>8.3468999999999998</v>
      </c>
      <c r="F532" s="61">
        <f>8.3469 * CHOOSE(CONTROL!$C$22, $C$13, 100%, $E$13)</f>
        <v>8.3468999999999998</v>
      </c>
      <c r="G532" s="61">
        <f>8.3471 * CHOOSE(CONTROL!$C$22, $C$13, 100%, $E$13)</f>
        <v>8.3470999999999993</v>
      </c>
      <c r="H532" s="61">
        <f>15.0705* CHOOSE(CONTROL!$C$22, $C$13, 100%, $E$13)</f>
        <v>15.070499999999999</v>
      </c>
      <c r="I532" s="61">
        <f>15.0706 * CHOOSE(CONTROL!$C$22, $C$13, 100%, $E$13)</f>
        <v>15.070600000000001</v>
      </c>
      <c r="J532" s="61">
        <f>8.3469 * CHOOSE(CONTROL!$C$22, $C$13, 100%, $E$13)</f>
        <v>8.3468999999999998</v>
      </c>
      <c r="K532" s="61">
        <f>8.3471 * CHOOSE(CONTROL!$C$22, $C$13, 100%, $E$13)</f>
        <v>8.3470999999999993</v>
      </c>
    </row>
    <row r="533" spans="1:11" ht="15">
      <c r="A533" s="13">
        <v>58076</v>
      </c>
      <c r="B533" s="60">
        <f>7.3655 * CHOOSE(CONTROL!$C$22, $C$13, 100%, $E$13)</f>
        <v>7.3654999999999999</v>
      </c>
      <c r="C533" s="60">
        <f>7.3655 * CHOOSE(CONTROL!$C$22, $C$13, 100%, $E$13)</f>
        <v>7.3654999999999999</v>
      </c>
      <c r="D533" s="60">
        <f>7.3843 * CHOOSE(CONTROL!$C$22, $C$13, 100%, $E$13)</f>
        <v>7.3842999999999996</v>
      </c>
      <c r="E533" s="61">
        <f>8.4758 * CHOOSE(CONTROL!$C$22, $C$13, 100%, $E$13)</f>
        <v>8.4757999999999996</v>
      </c>
      <c r="F533" s="61">
        <f>8.4758 * CHOOSE(CONTROL!$C$22, $C$13, 100%, $E$13)</f>
        <v>8.4757999999999996</v>
      </c>
      <c r="G533" s="61">
        <f>8.476 * CHOOSE(CONTROL!$C$22, $C$13, 100%, $E$13)</f>
        <v>8.4760000000000009</v>
      </c>
      <c r="H533" s="61">
        <f>15.1019* CHOOSE(CONTROL!$C$22, $C$13, 100%, $E$13)</f>
        <v>15.101900000000001</v>
      </c>
      <c r="I533" s="61">
        <f>15.102 * CHOOSE(CONTROL!$C$22, $C$13, 100%, $E$13)</f>
        <v>15.102</v>
      </c>
      <c r="J533" s="61">
        <f>8.4758 * CHOOSE(CONTROL!$C$22, $C$13, 100%, $E$13)</f>
        <v>8.4757999999999996</v>
      </c>
      <c r="K533" s="61">
        <f>8.476 * CHOOSE(CONTROL!$C$22, $C$13, 100%, $E$13)</f>
        <v>8.4760000000000009</v>
      </c>
    </row>
    <row r="534" spans="1:11" ht="15">
      <c r="A534" s="13">
        <v>58107</v>
      </c>
      <c r="B534" s="60">
        <f>7.3624 * CHOOSE(CONTROL!$C$22, $C$13, 100%, $E$13)</f>
        <v>7.3624000000000001</v>
      </c>
      <c r="C534" s="60">
        <f>7.3624 * CHOOSE(CONTROL!$C$22, $C$13, 100%, $E$13)</f>
        <v>7.3624000000000001</v>
      </c>
      <c r="D534" s="60">
        <f>7.3813 * CHOOSE(CONTROL!$C$22, $C$13, 100%, $E$13)</f>
        <v>7.3813000000000004</v>
      </c>
      <c r="E534" s="61">
        <f>8.3418 * CHOOSE(CONTROL!$C$22, $C$13, 100%, $E$13)</f>
        <v>8.3417999999999992</v>
      </c>
      <c r="F534" s="61">
        <f>8.3418 * CHOOSE(CONTROL!$C$22, $C$13, 100%, $E$13)</f>
        <v>8.3417999999999992</v>
      </c>
      <c r="G534" s="61">
        <f>8.342 * CHOOSE(CONTROL!$C$22, $C$13, 100%, $E$13)</f>
        <v>8.3420000000000005</v>
      </c>
      <c r="H534" s="61">
        <f>15.1333* CHOOSE(CONTROL!$C$22, $C$13, 100%, $E$13)</f>
        <v>15.1333</v>
      </c>
      <c r="I534" s="61">
        <f>15.1335 * CHOOSE(CONTROL!$C$22, $C$13, 100%, $E$13)</f>
        <v>15.1335</v>
      </c>
      <c r="J534" s="61">
        <f>8.3418 * CHOOSE(CONTROL!$C$22, $C$13, 100%, $E$13)</f>
        <v>8.3417999999999992</v>
      </c>
      <c r="K534" s="61">
        <f>8.342 * CHOOSE(CONTROL!$C$22, $C$13, 100%, $E$13)</f>
        <v>8.3420000000000005</v>
      </c>
    </row>
    <row r="535" spans="1:11" ht="15">
      <c r="A535" s="13">
        <v>58135</v>
      </c>
      <c r="B535" s="60">
        <f>7.3594 * CHOOSE(CONTROL!$C$22, $C$13, 100%, $E$13)</f>
        <v>7.3593999999999999</v>
      </c>
      <c r="C535" s="60">
        <f>7.3594 * CHOOSE(CONTROL!$C$22, $C$13, 100%, $E$13)</f>
        <v>7.3593999999999999</v>
      </c>
      <c r="D535" s="60">
        <f>7.3782 * CHOOSE(CONTROL!$C$22, $C$13, 100%, $E$13)</f>
        <v>7.3781999999999996</v>
      </c>
      <c r="E535" s="61">
        <f>8.4437 * CHOOSE(CONTROL!$C$22, $C$13, 100%, $E$13)</f>
        <v>8.4436999999999998</v>
      </c>
      <c r="F535" s="61">
        <f>8.4437 * CHOOSE(CONTROL!$C$22, $C$13, 100%, $E$13)</f>
        <v>8.4436999999999998</v>
      </c>
      <c r="G535" s="61">
        <f>8.4439 * CHOOSE(CONTROL!$C$22, $C$13, 100%, $E$13)</f>
        <v>8.4438999999999993</v>
      </c>
      <c r="H535" s="61">
        <f>15.1649* CHOOSE(CONTROL!$C$22, $C$13, 100%, $E$13)</f>
        <v>15.164899999999999</v>
      </c>
      <c r="I535" s="61">
        <f>15.165 * CHOOSE(CONTROL!$C$22, $C$13, 100%, $E$13)</f>
        <v>15.164999999999999</v>
      </c>
      <c r="J535" s="61">
        <f>8.4437 * CHOOSE(CONTROL!$C$22, $C$13, 100%, $E$13)</f>
        <v>8.4436999999999998</v>
      </c>
      <c r="K535" s="61">
        <f>8.4439 * CHOOSE(CONTROL!$C$22, $C$13, 100%, $E$13)</f>
        <v>8.4438999999999993</v>
      </c>
    </row>
    <row r="536" spans="1:11" ht="15">
      <c r="A536" s="13">
        <v>58166</v>
      </c>
      <c r="B536" s="60">
        <f>7.3604 * CHOOSE(CONTROL!$C$22, $C$13, 100%, $E$13)</f>
        <v>7.3604000000000003</v>
      </c>
      <c r="C536" s="60">
        <f>7.3604 * CHOOSE(CONTROL!$C$22, $C$13, 100%, $E$13)</f>
        <v>7.3604000000000003</v>
      </c>
      <c r="D536" s="60">
        <f>7.3792 * CHOOSE(CONTROL!$C$22, $C$13, 100%, $E$13)</f>
        <v>7.3792</v>
      </c>
      <c r="E536" s="61">
        <f>8.5511 * CHOOSE(CONTROL!$C$22, $C$13, 100%, $E$13)</f>
        <v>8.5510999999999999</v>
      </c>
      <c r="F536" s="61">
        <f>8.5511 * CHOOSE(CONTROL!$C$22, $C$13, 100%, $E$13)</f>
        <v>8.5510999999999999</v>
      </c>
      <c r="G536" s="61">
        <f>8.5513 * CHOOSE(CONTROL!$C$22, $C$13, 100%, $E$13)</f>
        <v>8.5512999999999995</v>
      </c>
      <c r="H536" s="61">
        <f>15.1964* CHOOSE(CONTROL!$C$22, $C$13, 100%, $E$13)</f>
        <v>15.196400000000001</v>
      </c>
      <c r="I536" s="61">
        <f>15.1966 * CHOOSE(CONTROL!$C$22, $C$13, 100%, $E$13)</f>
        <v>15.1966</v>
      </c>
      <c r="J536" s="61">
        <f>8.5511 * CHOOSE(CONTROL!$C$22, $C$13, 100%, $E$13)</f>
        <v>8.5510999999999999</v>
      </c>
      <c r="K536" s="61">
        <f>8.5513 * CHOOSE(CONTROL!$C$22, $C$13, 100%, $E$13)</f>
        <v>8.5512999999999995</v>
      </c>
    </row>
    <row r="537" spans="1:11" ht="15">
      <c r="A537" s="13">
        <v>58196</v>
      </c>
      <c r="B537" s="60">
        <f>7.3604 * CHOOSE(CONTROL!$C$22, $C$13, 100%, $E$13)</f>
        <v>7.3604000000000003</v>
      </c>
      <c r="C537" s="60">
        <f>7.3604 * CHOOSE(CONTROL!$C$22, $C$13, 100%, $E$13)</f>
        <v>7.3604000000000003</v>
      </c>
      <c r="D537" s="60">
        <f>7.398 * CHOOSE(CONTROL!$C$22, $C$13, 100%, $E$13)</f>
        <v>7.3979999999999997</v>
      </c>
      <c r="E537" s="61">
        <f>8.593 * CHOOSE(CONTROL!$C$22, $C$13, 100%, $E$13)</f>
        <v>8.593</v>
      </c>
      <c r="F537" s="61">
        <f>8.593 * CHOOSE(CONTROL!$C$22, $C$13, 100%, $E$13)</f>
        <v>8.593</v>
      </c>
      <c r="G537" s="61">
        <f>8.5953 * CHOOSE(CONTROL!$C$22, $C$13, 100%, $E$13)</f>
        <v>8.5952999999999999</v>
      </c>
      <c r="H537" s="61">
        <f>15.2281* CHOOSE(CONTROL!$C$22, $C$13, 100%, $E$13)</f>
        <v>15.2281</v>
      </c>
      <c r="I537" s="61">
        <f>15.2304 * CHOOSE(CONTROL!$C$22, $C$13, 100%, $E$13)</f>
        <v>15.230399999999999</v>
      </c>
      <c r="J537" s="61">
        <f>8.593 * CHOOSE(CONTROL!$C$22, $C$13, 100%, $E$13)</f>
        <v>8.593</v>
      </c>
      <c r="K537" s="61">
        <f>8.5953 * CHOOSE(CONTROL!$C$22, $C$13, 100%, $E$13)</f>
        <v>8.5952999999999999</v>
      </c>
    </row>
    <row r="538" spans="1:11" ht="15">
      <c r="A538" s="13">
        <v>58227</v>
      </c>
      <c r="B538" s="60">
        <f>7.3665 * CHOOSE(CONTROL!$C$22, $C$13, 100%, $E$13)</f>
        <v>7.3665000000000003</v>
      </c>
      <c r="C538" s="60">
        <f>7.3665 * CHOOSE(CONTROL!$C$22, $C$13, 100%, $E$13)</f>
        <v>7.3665000000000003</v>
      </c>
      <c r="D538" s="60">
        <f>7.4041 * CHOOSE(CONTROL!$C$22, $C$13, 100%, $E$13)</f>
        <v>7.4040999999999997</v>
      </c>
      <c r="E538" s="61">
        <f>8.5553 * CHOOSE(CONTROL!$C$22, $C$13, 100%, $E$13)</f>
        <v>8.5553000000000008</v>
      </c>
      <c r="F538" s="61">
        <f>8.5553 * CHOOSE(CONTROL!$C$22, $C$13, 100%, $E$13)</f>
        <v>8.5553000000000008</v>
      </c>
      <c r="G538" s="61">
        <f>8.5577 * CHOOSE(CONTROL!$C$22, $C$13, 100%, $E$13)</f>
        <v>8.5577000000000005</v>
      </c>
      <c r="H538" s="61">
        <f>15.2598* CHOOSE(CONTROL!$C$22, $C$13, 100%, $E$13)</f>
        <v>15.2598</v>
      </c>
      <c r="I538" s="61">
        <f>15.2621 * CHOOSE(CONTROL!$C$22, $C$13, 100%, $E$13)</f>
        <v>15.2621</v>
      </c>
      <c r="J538" s="61">
        <f>8.5553 * CHOOSE(CONTROL!$C$22, $C$13, 100%, $E$13)</f>
        <v>8.5553000000000008</v>
      </c>
      <c r="K538" s="61">
        <f>8.5577 * CHOOSE(CONTROL!$C$22, $C$13, 100%, $E$13)</f>
        <v>8.5577000000000005</v>
      </c>
    </row>
    <row r="539" spans="1:11" ht="15">
      <c r="A539" s="13">
        <v>58257</v>
      </c>
      <c r="B539" s="60">
        <f>7.4748 * CHOOSE(CONTROL!$C$22, $C$13, 100%, $E$13)</f>
        <v>7.4748000000000001</v>
      </c>
      <c r="C539" s="60">
        <f>7.4748 * CHOOSE(CONTROL!$C$22, $C$13, 100%, $E$13)</f>
        <v>7.4748000000000001</v>
      </c>
      <c r="D539" s="60">
        <f>7.5124 * CHOOSE(CONTROL!$C$22, $C$13, 100%, $E$13)</f>
        <v>7.5124000000000004</v>
      </c>
      <c r="E539" s="61">
        <f>8.7157 * CHOOSE(CONTROL!$C$22, $C$13, 100%, $E$13)</f>
        <v>8.7157</v>
      </c>
      <c r="F539" s="61">
        <f>8.7157 * CHOOSE(CONTROL!$C$22, $C$13, 100%, $E$13)</f>
        <v>8.7157</v>
      </c>
      <c r="G539" s="61">
        <f>8.718 * CHOOSE(CONTROL!$C$22, $C$13, 100%, $E$13)</f>
        <v>8.718</v>
      </c>
      <c r="H539" s="61">
        <f>15.2916* CHOOSE(CONTROL!$C$22, $C$13, 100%, $E$13)</f>
        <v>15.291600000000001</v>
      </c>
      <c r="I539" s="61">
        <f>15.2939 * CHOOSE(CONTROL!$C$22, $C$13, 100%, $E$13)</f>
        <v>15.293900000000001</v>
      </c>
      <c r="J539" s="61">
        <f>8.7157 * CHOOSE(CONTROL!$C$22, $C$13, 100%, $E$13)</f>
        <v>8.7157</v>
      </c>
      <c r="K539" s="61">
        <f>8.718 * CHOOSE(CONTROL!$C$22, $C$13, 100%, $E$13)</f>
        <v>8.718</v>
      </c>
    </row>
    <row r="540" spans="1:11" ht="15">
      <c r="A540" s="13">
        <v>58288</v>
      </c>
      <c r="B540" s="60">
        <f>7.4815 * CHOOSE(CONTROL!$C$22, $C$13, 100%, $E$13)</f>
        <v>7.4814999999999996</v>
      </c>
      <c r="C540" s="60">
        <f>7.4815 * CHOOSE(CONTROL!$C$22, $C$13, 100%, $E$13)</f>
        <v>7.4814999999999996</v>
      </c>
      <c r="D540" s="60">
        <f>7.5191 * CHOOSE(CONTROL!$C$22, $C$13, 100%, $E$13)</f>
        <v>7.5190999999999999</v>
      </c>
      <c r="E540" s="61">
        <f>8.5948 * CHOOSE(CONTROL!$C$22, $C$13, 100%, $E$13)</f>
        <v>8.5947999999999993</v>
      </c>
      <c r="F540" s="61">
        <f>8.5948 * CHOOSE(CONTROL!$C$22, $C$13, 100%, $E$13)</f>
        <v>8.5947999999999993</v>
      </c>
      <c r="G540" s="61">
        <f>8.5971 * CHOOSE(CONTROL!$C$22, $C$13, 100%, $E$13)</f>
        <v>8.5970999999999993</v>
      </c>
      <c r="H540" s="61">
        <f>15.3235* CHOOSE(CONTROL!$C$22, $C$13, 100%, $E$13)</f>
        <v>15.323499999999999</v>
      </c>
      <c r="I540" s="61">
        <f>15.3258 * CHOOSE(CONTROL!$C$22, $C$13, 100%, $E$13)</f>
        <v>15.325799999999999</v>
      </c>
      <c r="J540" s="61">
        <f>8.5948 * CHOOSE(CONTROL!$C$22, $C$13, 100%, $E$13)</f>
        <v>8.5947999999999993</v>
      </c>
      <c r="K540" s="61">
        <f>8.5971 * CHOOSE(CONTROL!$C$22, $C$13, 100%, $E$13)</f>
        <v>8.5970999999999993</v>
      </c>
    </row>
    <row r="541" spans="1:11" ht="15">
      <c r="A541" s="13">
        <v>58319</v>
      </c>
      <c r="B541" s="60">
        <f>7.4784 * CHOOSE(CONTROL!$C$22, $C$13, 100%, $E$13)</f>
        <v>7.4783999999999997</v>
      </c>
      <c r="C541" s="60">
        <f>7.4784 * CHOOSE(CONTROL!$C$22, $C$13, 100%, $E$13)</f>
        <v>7.4783999999999997</v>
      </c>
      <c r="D541" s="60">
        <f>7.516 * CHOOSE(CONTROL!$C$22, $C$13, 100%, $E$13)</f>
        <v>7.516</v>
      </c>
      <c r="E541" s="61">
        <f>8.5787 * CHOOSE(CONTROL!$C$22, $C$13, 100%, $E$13)</f>
        <v>8.5786999999999995</v>
      </c>
      <c r="F541" s="61">
        <f>8.5787 * CHOOSE(CONTROL!$C$22, $C$13, 100%, $E$13)</f>
        <v>8.5786999999999995</v>
      </c>
      <c r="G541" s="61">
        <f>8.581 * CHOOSE(CONTROL!$C$22, $C$13, 100%, $E$13)</f>
        <v>8.5809999999999995</v>
      </c>
      <c r="H541" s="61">
        <f>15.3554* CHOOSE(CONTROL!$C$22, $C$13, 100%, $E$13)</f>
        <v>15.355399999999999</v>
      </c>
      <c r="I541" s="61">
        <f>15.3577 * CHOOSE(CONTROL!$C$22, $C$13, 100%, $E$13)</f>
        <v>15.357699999999999</v>
      </c>
      <c r="J541" s="61">
        <f>8.5787 * CHOOSE(CONTROL!$C$22, $C$13, 100%, $E$13)</f>
        <v>8.5786999999999995</v>
      </c>
      <c r="K541" s="61">
        <f>8.581 * CHOOSE(CONTROL!$C$22, $C$13, 100%, $E$13)</f>
        <v>8.5809999999999995</v>
      </c>
    </row>
    <row r="542" spans="1:11" ht="15">
      <c r="A542" s="13">
        <v>58349</v>
      </c>
      <c r="B542" s="60">
        <f>7.4867 * CHOOSE(CONTROL!$C$22, $C$13, 100%, $E$13)</f>
        <v>7.4866999999999999</v>
      </c>
      <c r="C542" s="60">
        <f>7.4867 * CHOOSE(CONTROL!$C$22, $C$13, 100%, $E$13)</f>
        <v>7.4866999999999999</v>
      </c>
      <c r="D542" s="60">
        <f>7.5055 * CHOOSE(CONTROL!$C$22, $C$13, 100%, $E$13)</f>
        <v>7.5054999999999996</v>
      </c>
      <c r="E542" s="61">
        <f>8.6211 * CHOOSE(CONTROL!$C$22, $C$13, 100%, $E$13)</f>
        <v>8.6211000000000002</v>
      </c>
      <c r="F542" s="61">
        <f>8.6211 * CHOOSE(CONTROL!$C$22, $C$13, 100%, $E$13)</f>
        <v>8.6211000000000002</v>
      </c>
      <c r="G542" s="61">
        <f>8.6213 * CHOOSE(CONTROL!$C$22, $C$13, 100%, $E$13)</f>
        <v>8.6212999999999997</v>
      </c>
      <c r="H542" s="61">
        <f>15.3874* CHOOSE(CONTROL!$C$22, $C$13, 100%, $E$13)</f>
        <v>15.3874</v>
      </c>
      <c r="I542" s="61">
        <f>15.3876 * CHOOSE(CONTROL!$C$22, $C$13, 100%, $E$13)</f>
        <v>15.387600000000001</v>
      </c>
      <c r="J542" s="61">
        <f>8.6211 * CHOOSE(CONTROL!$C$22, $C$13, 100%, $E$13)</f>
        <v>8.6211000000000002</v>
      </c>
      <c r="K542" s="61">
        <f>8.6213 * CHOOSE(CONTROL!$C$22, $C$13, 100%, $E$13)</f>
        <v>8.6212999999999997</v>
      </c>
    </row>
    <row r="543" spans="1:11" ht="15">
      <c r="A543" s="13">
        <v>58380</v>
      </c>
      <c r="B543" s="60">
        <f>7.4898 * CHOOSE(CONTROL!$C$22, $C$13, 100%, $E$13)</f>
        <v>7.4897999999999998</v>
      </c>
      <c r="C543" s="60">
        <f>7.4898 * CHOOSE(CONTROL!$C$22, $C$13, 100%, $E$13)</f>
        <v>7.4897999999999998</v>
      </c>
      <c r="D543" s="60">
        <f>7.5086 * CHOOSE(CONTROL!$C$22, $C$13, 100%, $E$13)</f>
        <v>7.5086000000000004</v>
      </c>
      <c r="E543" s="61">
        <f>8.6511 * CHOOSE(CONTROL!$C$22, $C$13, 100%, $E$13)</f>
        <v>8.6510999999999996</v>
      </c>
      <c r="F543" s="61">
        <f>8.6511 * CHOOSE(CONTROL!$C$22, $C$13, 100%, $E$13)</f>
        <v>8.6510999999999996</v>
      </c>
      <c r="G543" s="61">
        <f>8.6513 * CHOOSE(CONTROL!$C$22, $C$13, 100%, $E$13)</f>
        <v>8.6513000000000009</v>
      </c>
      <c r="H543" s="61">
        <f>15.4195* CHOOSE(CONTROL!$C$22, $C$13, 100%, $E$13)</f>
        <v>15.419499999999999</v>
      </c>
      <c r="I543" s="61">
        <f>15.4196 * CHOOSE(CONTROL!$C$22, $C$13, 100%, $E$13)</f>
        <v>15.419600000000001</v>
      </c>
      <c r="J543" s="61">
        <f>8.6511 * CHOOSE(CONTROL!$C$22, $C$13, 100%, $E$13)</f>
        <v>8.6510999999999996</v>
      </c>
      <c r="K543" s="61">
        <f>8.6513 * CHOOSE(CONTROL!$C$22, $C$13, 100%, $E$13)</f>
        <v>8.6513000000000009</v>
      </c>
    </row>
    <row r="544" spans="1:11" ht="15">
      <c r="A544" s="13">
        <v>58410</v>
      </c>
      <c r="B544" s="60">
        <f>7.4898 * CHOOSE(CONTROL!$C$22, $C$13, 100%, $E$13)</f>
        <v>7.4897999999999998</v>
      </c>
      <c r="C544" s="60">
        <f>7.4898 * CHOOSE(CONTROL!$C$22, $C$13, 100%, $E$13)</f>
        <v>7.4897999999999998</v>
      </c>
      <c r="D544" s="60">
        <f>7.5086 * CHOOSE(CONTROL!$C$22, $C$13, 100%, $E$13)</f>
        <v>7.5086000000000004</v>
      </c>
      <c r="E544" s="61">
        <f>8.5813 * CHOOSE(CONTROL!$C$22, $C$13, 100%, $E$13)</f>
        <v>8.5813000000000006</v>
      </c>
      <c r="F544" s="61">
        <f>8.5813 * CHOOSE(CONTROL!$C$22, $C$13, 100%, $E$13)</f>
        <v>8.5813000000000006</v>
      </c>
      <c r="G544" s="61">
        <f>8.5815 * CHOOSE(CONTROL!$C$22, $C$13, 100%, $E$13)</f>
        <v>8.5815000000000001</v>
      </c>
      <c r="H544" s="61">
        <f>15.4516* CHOOSE(CONTROL!$C$22, $C$13, 100%, $E$13)</f>
        <v>15.451599999999999</v>
      </c>
      <c r="I544" s="61">
        <f>15.4518 * CHOOSE(CONTROL!$C$22, $C$13, 100%, $E$13)</f>
        <v>15.4518</v>
      </c>
      <c r="J544" s="61">
        <f>8.5813 * CHOOSE(CONTROL!$C$22, $C$13, 100%, $E$13)</f>
        <v>8.5813000000000006</v>
      </c>
      <c r="K544" s="61">
        <f>8.5815 * CHOOSE(CONTROL!$C$22, $C$13, 100%, $E$13)</f>
        <v>8.5815000000000001</v>
      </c>
    </row>
    <row r="545" spans="1:11" ht="15">
      <c r="A545" s="13">
        <v>58441</v>
      </c>
      <c r="B545" s="60">
        <f>7.5525 * CHOOSE(CONTROL!$C$22, $C$13, 100%, $E$13)</f>
        <v>7.5525000000000002</v>
      </c>
      <c r="C545" s="60">
        <f>7.5525 * CHOOSE(CONTROL!$C$22, $C$13, 100%, $E$13)</f>
        <v>7.5525000000000002</v>
      </c>
      <c r="D545" s="60">
        <f>7.5713 * CHOOSE(CONTROL!$C$22, $C$13, 100%, $E$13)</f>
        <v>7.5712999999999999</v>
      </c>
      <c r="E545" s="61">
        <f>8.7141 * CHOOSE(CONTROL!$C$22, $C$13, 100%, $E$13)</f>
        <v>8.7141000000000002</v>
      </c>
      <c r="F545" s="61">
        <f>8.7141 * CHOOSE(CONTROL!$C$22, $C$13, 100%, $E$13)</f>
        <v>8.7141000000000002</v>
      </c>
      <c r="G545" s="61">
        <f>8.7142 * CHOOSE(CONTROL!$C$22, $C$13, 100%, $E$13)</f>
        <v>8.7141999999999999</v>
      </c>
      <c r="H545" s="61">
        <f>15.4838* CHOOSE(CONTROL!$C$22, $C$13, 100%, $E$13)</f>
        <v>15.4838</v>
      </c>
      <c r="I545" s="61">
        <f>15.4839 * CHOOSE(CONTROL!$C$22, $C$13, 100%, $E$13)</f>
        <v>15.4839</v>
      </c>
      <c r="J545" s="61">
        <f>8.7141 * CHOOSE(CONTROL!$C$22, $C$13, 100%, $E$13)</f>
        <v>8.7141000000000002</v>
      </c>
      <c r="K545" s="61">
        <f>8.7142 * CHOOSE(CONTROL!$C$22, $C$13, 100%, $E$13)</f>
        <v>8.7141999999999999</v>
      </c>
    </row>
    <row r="546" spans="1:11" ht="15">
      <c r="A546" s="13">
        <v>58472</v>
      </c>
      <c r="B546" s="60">
        <f>7.5494 * CHOOSE(CONTROL!$C$22, $C$13, 100%, $E$13)</f>
        <v>7.5494000000000003</v>
      </c>
      <c r="C546" s="60">
        <f>7.5494 * CHOOSE(CONTROL!$C$22, $C$13, 100%, $E$13)</f>
        <v>7.5494000000000003</v>
      </c>
      <c r="D546" s="60">
        <f>7.5682 * CHOOSE(CONTROL!$C$22, $C$13, 100%, $E$13)</f>
        <v>7.5682</v>
      </c>
      <c r="E546" s="61">
        <f>8.5758 * CHOOSE(CONTROL!$C$22, $C$13, 100%, $E$13)</f>
        <v>8.5757999999999992</v>
      </c>
      <c r="F546" s="61">
        <f>8.5758 * CHOOSE(CONTROL!$C$22, $C$13, 100%, $E$13)</f>
        <v>8.5757999999999992</v>
      </c>
      <c r="G546" s="61">
        <f>8.576 * CHOOSE(CONTROL!$C$22, $C$13, 100%, $E$13)</f>
        <v>8.5760000000000005</v>
      </c>
      <c r="H546" s="61">
        <f>15.516* CHOOSE(CONTROL!$C$22, $C$13, 100%, $E$13)</f>
        <v>15.516</v>
      </c>
      <c r="I546" s="61">
        <f>15.5162 * CHOOSE(CONTROL!$C$22, $C$13, 100%, $E$13)</f>
        <v>15.5162</v>
      </c>
      <c r="J546" s="61">
        <f>8.5758 * CHOOSE(CONTROL!$C$22, $C$13, 100%, $E$13)</f>
        <v>8.5757999999999992</v>
      </c>
      <c r="K546" s="61">
        <f>8.576 * CHOOSE(CONTROL!$C$22, $C$13, 100%, $E$13)</f>
        <v>8.5760000000000005</v>
      </c>
    </row>
    <row r="547" spans="1:11" ht="15">
      <c r="A547" s="13">
        <v>58501</v>
      </c>
      <c r="B547" s="60">
        <f>7.5464 * CHOOSE(CONTROL!$C$22, $C$13, 100%, $E$13)</f>
        <v>7.5464000000000002</v>
      </c>
      <c r="C547" s="60">
        <f>7.5464 * CHOOSE(CONTROL!$C$22, $C$13, 100%, $E$13)</f>
        <v>7.5464000000000002</v>
      </c>
      <c r="D547" s="60">
        <f>7.5652 * CHOOSE(CONTROL!$C$22, $C$13, 100%, $E$13)</f>
        <v>7.5651999999999999</v>
      </c>
      <c r="E547" s="61">
        <f>8.681 * CHOOSE(CONTROL!$C$22, $C$13, 100%, $E$13)</f>
        <v>8.6809999999999992</v>
      </c>
      <c r="F547" s="61">
        <f>8.681 * CHOOSE(CONTROL!$C$22, $C$13, 100%, $E$13)</f>
        <v>8.6809999999999992</v>
      </c>
      <c r="G547" s="61">
        <f>8.6812 * CHOOSE(CONTROL!$C$22, $C$13, 100%, $E$13)</f>
        <v>8.6812000000000005</v>
      </c>
      <c r="H547" s="61">
        <f>15.5484* CHOOSE(CONTROL!$C$22, $C$13, 100%, $E$13)</f>
        <v>15.548400000000001</v>
      </c>
      <c r="I547" s="61">
        <f>15.5485 * CHOOSE(CONTROL!$C$22, $C$13, 100%, $E$13)</f>
        <v>15.548500000000001</v>
      </c>
      <c r="J547" s="61">
        <f>8.681 * CHOOSE(CONTROL!$C$22, $C$13, 100%, $E$13)</f>
        <v>8.6809999999999992</v>
      </c>
      <c r="K547" s="61">
        <f>8.6812 * CHOOSE(CONTROL!$C$22, $C$13, 100%, $E$13)</f>
        <v>8.6812000000000005</v>
      </c>
    </row>
    <row r="548" spans="1:11" ht="15">
      <c r="A548" s="13">
        <v>58532</v>
      </c>
      <c r="B548" s="60">
        <f>7.5475 * CHOOSE(CONTROL!$C$22, $C$13, 100%, $E$13)</f>
        <v>7.5475000000000003</v>
      </c>
      <c r="C548" s="60">
        <f>7.5475 * CHOOSE(CONTROL!$C$22, $C$13, 100%, $E$13)</f>
        <v>7.5475000000000003</v>
      </c>
      <c r="D548" s="60">
        <f>7.5664 * CHOOSE(CONTROL!$C$22, $C$13, 100%, $E$13)</f>
        <v>7.5663999999999998</v>
      </c>
      <c r="E548" s="61">
        <f>8.792 * CHOOSE(CONTROL!$C$22, $C$13, 100%, $E$13)</f>
        <v>8.7919999999999998</v>
      </c>
      <c r="F548" s="61">
        <f>8.792 * CHOOSE(CONTROL!$C$22, $C$13, 100%, $E$13)</f>
        <v>8.7919999999999998</v>
      </c>
      <c r="G548" s="61">
        <f>8.7922 * CHOOSE(CONTROL!$C$22, $C$13, 100%, $E$13)</f>
        <v>8.7921999999999993</v>
      </c>
      <c r="H548" s="61">
        <f>15.5807* CHOOSE(CONTROL!$C$22, $C$13, 100%, $E$13)</f>
        <v>15.5807</v>
      </c>
      <c r="I548" s="61">
        <f>15.5809 * CHOOSE(CONTROL!$C$22, $C$13, 100%, $E$13)</f>
        <v>15.5809</v>
      </c>
      <c r="J548" s="61">
        <f>8.792 * CHOOSE(CONTROL!$C$22, $C$13, 100%, $E$13)</f>
        <v>8.7919999999999998</v>
      </c>
      <c r="K548" s="61">
        <f>8.7922 * CHOOSE(CONTROL!$C$22, $C$13, 100%, $E$13)</f>
        <v>8.7921999999999993</v>
      </c>
    </row>
    <row r="549" spans="1:11" ht="15">
      <c r="A549" s="13">
        <v>58562</v>
      </c>
      <c r="B549" s="60">
        <f>7.5475 * CHOOSE(CONTROL!$C$22, $C$13, 100%, $E$13)</f>
        <v>7.5475000000000003</v>
      </c>
      <c r="C549" s="60">
        <f>7.5475 * CHOOSE(CONTROL!$C$22, $C$13, 100%, $E$13)</f>
        <v>7.5475000000000003</v>
      </c>
      <c r="D549" s="60">
        <f>7.5852 * CHOOSE(CONTROL!$C$22, $C$13, 100%, $E$13)</f>
        <v>7.5852000000000004</v>
      </c>
      <c r="E549" s="61">
        <f>8.8352 * CHOOSE(CONTROL!$C$22, $C$13, 100%, $E$13)</f>
        <v>8.8352000000000004</v>
      </c>
      <c r="F549" s="61">
        <f>8.8352 * CHOOSE(CONTROL!$C$22, $C$13, 100%, $E$13)</f>
        <v>8.8352000000000004</v>
      </c>
      <c r="G549" s="61">
        <f>8.8375 * CHOOSE(CONTROL!$C$22, $C$13, 100%, $E$13)</f>
        <v>8.8375000000000004</v>
      </c>
      <c r="H549" s="61">
        <f>15.6132* CHOOSE(CONTROL!$C$22, $C$13, 100%, $E$13)</f>
        <v>15.613200000000001</v>
      </c>
      <c r="I549" s="61">
        <f>15.6155 * CHOOSE(CONTROL!$C$22, $C$13, 100%, $E$13)</f>
        <v>15.615500000000001</v>
      </c>
      <c r="J549" s="61">
        <f>8.8352 * CHOOSE(CONTROL!$C$22, $C$13, 100%, $E$13)</f>
        <v>8.8352000000000004</v>
      </c>
      <c r="K549" s="61">
        <f>8.8375 * CHOOSE(CONTROL!$C$22, $C$13, 100%, $E$13)</f>
        <v>8.8375000000000004</v>
      </c>
    </row>
    <row r="550" spans="1:11" ht="15">
      <c r="A550" s="13">
        <v>58593</v>
      </c>
      <c r="B550" s="60">
        <f>7.5536 * CHOOSE(CONTROL!$C$22, $C$13, 100%, $E$13)</f>
        <v>7.5536000000000003</v>
      </c>
      <c r="C550" s="60">
        <f>7.5536 * CHOOSE(CONTROL!$C$22, $C$13, 100%, $E$13)</f>
        <v>7.5536000000000003</v>
      </c>
      <c r="D550" s="60">
        <f>7.5912 * CHOOSE(CONTROL!$C$22, $C$13, 100%, $E$13)</f>
        <v>7.5911999999999997</v>
      </c>
      <c r="E550" s="61">
        <f>8.7962 * CHOOSE(CONTROL!$C$22, $C$13, 100%, $E$13)</f>
        <v>8.7962000000000007</v>
      </c>
      <c r="F550" s="61">
        <f>8.7962 * CHOOSE(CONTROL!$C$22, $C$13, 100%, $E$13)</f>
        <v>8.7962000000000007</v>
      </c>
      <c r="G550" s="61">
        <f>8.7985 * CHOOSE(CONTROL!$C$22, $C$13, 100%, $E$13)</f>
        <v>8.7985000000000007</v>
      </c>
      <c r="H550" s="61">
        <f>15.6457* CHOOSE(CONTROL!$C$22, $C$13, 100%, $E$13)</f>
        <v>15.6457</v>
      </c>
      <c r="I550" s="61">
        <f>15.648 * CHOOSE(CONTROL!$C$22, $C$13, 100%, $E$13)</f>
        <v>15.648</v>
      </c>
      <c r="J550" s="61">
        <f>8.7962 * CHOOSE(CONTROL!$C$22, $C$13, 100%, $E$13)</f>
        <v>8.7962000000000007</v>
      </c>
      <c r="K550" s="61">
        <f>8.7985 * CHOOSE(CONTROL!$C$22, $C$13, 100%, $E$13)</f>
        <v>8.7985000000000007</v>
      </c>
    </row>
    <row r="551" spans="1:11" ht="15">
      <c r="A551" s="13">
        <v>58623</v>
      </c>
      <c r="B551" s="60">
        <f>7.6643 * CHOOSE(CONTROL!$C$22, $C$13, 100%, $E$13)</f>
        <v>7.6642999999999999</v>
      </c>
      <c r="C551" s="60">
        <f>7.6643 * CHOOSE(CONTROL!$C$22, $C$13, 100%, $E$13)</f>
        <v>7.6642999999999999</v>
      </c>
      <c r="D551" s="60">
        <f>7.7019 * CHOOSE(CONTROL!$C$22, $C$13, 100%, $E$13)</f>
        <v>7.7019000000000002</v>
      </c>
      <c r="E551" s="61">
        <f>8.9608 * CHOOSE(CONTROL!$C$22, $C$13, 100%, $E$13)</f>
        <v>8.9608000000000008</v>
      </c>
      <c r="F551" s="61">
        <f>8.9608 * CHOOSE(CONTROL!$C$22, $C$13, 100%, $E$13)</f>
        <v>8.9608000000000008</v>
      </c>
      <c r="G551" s="61">
        <f>8.9631 * CHOOSE(CONTROL!$C$22, $C$13, 100%, $E$13)</f>
        <v>8.9631000000000007</v>
      </c>
      <c r="H551" s="61">
        <f>15.6783* CHOOSE(CONTROL!$C$22, $C$13, 100%, $E$13)</f>
        <v>15.6783</v>
      </c>
      <c r="I551" s="61">
        <f>15.6806 * CHOOSE(CONTROL!$C$22, $C$13, 100%, $E$13)</f>
        <v>15.6806</v>
      </c>
      <c r="J551" s="61">
        <f>8.9608 * CHOOSE(CONTROL!$C$22, $C$13, 100%, $E$13)</f>
        <v>8.9608000000000008</v>
      </c>
      <c r="K551" s="61">
        <f>8.9631 * CHOOSE(CONTROL!$C$22, $C$13, 100%, $E$13)</f>
        <v>8.9631000000000007</v>
      </c>
    </row>
    <row r="552" spans="1:11" ht="15">
      <c r="A552" s="13">
        <v>58654</v>
      </c>
      <c r="B552" s="60">
        <f>7.671 * CHOOSE(CONTROL!$C$22, $C$13, 100%, $E$13)</f>
        <v>7.6710000000000003</v>
      </c>
      <c r="C552" s="60">
        <f>7.671 * CHOOSE(CONTROL!$C$22, $C$13, 100%, $E$13)</f>
        <v>7.6710000000000003</v>
      </c>
      <c r="D552" s="60">
        <f>7.7086 * CHOOSE(CONTROL!$C$22, $C$13, 100%, $E$13)</f>
        <v>7.7085999999999997</v>
      </c>
      <c r="E552" s="61">
        <f>8.8358 * CHOOSE(CONTROL!$C$22, $C$13, 100%, $E$13)</f>
        <v>8.8358000000000008</v>
      </c>
      <c r="F552" s="61">
        <f>8.8358 * CHOOSE(CONTROL!$C$22, $C$13, 100%, $E$13)</f>
        <v>8.8358000000000008</v>
      </c>
      <c r="G552" s="61">
        <f>8.8381 * CHOOSE(CONTROL!$C$22, $C$13, 100%, $E$13)</f>
        <v>8.8381000000000007</v>
      </c>
      <c r="H552" s="61">
        <f>15.711* CHOOSE(CONTROL!$C$22, $C$13, 100%, $E$13)</f>
        <v>15.711</v>
      </c>
      <c r="I552" s="61">
        <f>15.7133 * CHOOSE(CONTROL!$C$22, $C$13, 100%, $E$13)</f>
        <v>15.7133</v>
      </c>
      <c r="J552" s="61">
        <f>8.8358 * CHOOSE(CONTROL!$C$22, $C$13, 100%, $E$13)</f>
        <v>8.8358000000000008</v>
      </c>
      <c r="K552" s="61">
        <f>8.8381 * CHOOSE(CONTROL!$C$22, $C$13, 100%, $E$13)</f>
        <v>8.8381000000000007</v>
      </c>
    </row>
    <row r="553" spans="1:11" ht="15">
      <c r="A553" s="13">
        <v>58685</v>
      </c>
      <c r="B553" s="60">
        <f>7.668 * CHOOSE(CONTROL!$C$22, $C$13, 100%, $E$13)</f>
        <v>7.6680000000000001</v>
      </c>
      <c r="C553" s="60">
        <f>7.668 * CHOOSE(CONTROL!$C$22, $C$13, 100%, $E$13)</f>
        <v>7.6680000000000001</v>
      </c>
      <c r="D553" s="60">
        <f>7.7056 * CHOOSE(CONTROL!$C$22, $C$13, 100%, $E$13)</f>
        <v>7.7055999999999996</v>
      </c>
      <c r="E553" s="61">
        <f>8.8193 * CHOOSE(CONTROL!$C$22, $C$13, 100%, $E$13)</f>
        <v>8.8193000000000001</v>
      </c>
      <c r="F553" s="61">
        <f>8.8193 * CHOOSE(CONTROL!$C$22, $C$13, 100%, $E$13)</f>
        <v>8.8193000000000001</v>
      </c>
      <c r="G553" s="61">
        <f>8.8216 * CHOOSE(CONTROL!$C$22, $C$13, 100%, $E$13)</f>
        <v>8.8216000000000001</v>
      </c>
      <c r="H553" s="61">
        <f>15.7437* CHOOSE(CONTROL!$C$22, $C$13, 100%, $E$13)</f>
        <v>15.7437</v>
      </c>
      <c r="I553" s="61">
        <f>15.746 * CHOOSE(CONTROL!$C$22, $C$13, 100%, $E$13)</f>
        <v>15.746</v>
      </c>
      <c r="J553" s="61">
        <f>8.8193 * CHOOSE(CONTROL!$C$22, $C$13, 100%, $E$13)</f>
        <v>8.8193000000000001</v>
      </c>
      <c r="K553" s="61">
        <f>8.8216 * CHOOSE(CONTROL!$C$22, $C$13, 100%, $E$13)</f>
        <v>8.8216000000000001</v>
      </c>
    </row>
    <row r="554" spans="1:11" ht="15">
      <c r="A554" s="13">
        <v>58715</v>
      </c>
      <c r="B554" s="60">
        <f>7.677 * CHOOSE(CONTROL!$C$22, $C$13, 100%, $E$13)</f>
        <v>7.6769999999999996</v>
      </c>
      <c r="C554" s="60">
        <f>7.677 * CHOOSE(CONTROL!$C$22, $C$13, 100%, $E$13)</f>
        <v>7.6769999999999996</v>
      </c>
      <c r="D554" s="60">
        <f>7.6958 * CHOOSE(CONTROL!$C$22, $C$13, 100%, $E$13)</f>
        <v>7.6958000000000002</v>
      </c>
      <c r="E554" s="61">
        <f>8.8635 * CHOOSE(CONTROL!$C$22, $C$13, 100%, $E$13)</f>
        <v>8.8635000000000002</v>
      </c>
      <c r="F554" s="61">
        <f>8.8635 * CHOOSE(CONTROL!$C$22, $C$13, 100%, $E$13)</f>
        <v>8.8635000000000002</v>
      </c>
      <c r="G554" s="61">
        <f>8.8637 * CHOOSE(CONTROL!$C$22, $C$13, 100%, $E$13)</f>
        <v>8.8636999999999997</v>
      </c>
      <c r="H554" s="61">
        <f>15.7765* CHOOSE(CONTROL!$C$22, $C$13, 100%, $E$13)</f>
        <v>15.7765</v>
      </c>
      <c r="I554" s="61">
        <f>15.7767 * CHOOSE(CONTROL!$C$22, $C$13, 100%, $E$13)</f>
        <v>15.7767</v>
      </c>
      <c r="J554" s="61">
        <f>8.8635 * CHOOSE(CONTROL!$C$22, $C$13, 100%, $E$13)</f>
        <v>8.8635000000000002</v>
      </c>
      <c r="K554" s="61">
        <f>8.8637 * CHOOSE(CONTROL!$C$22, $C$13, 100%, $E$13)</f>
        <v>8.8636999999999997</v>
      </c>
    </row>
    <row r="555" spans="1:11" ht="15">
      <c r="A555" s="13">
        <v>58746</v>
      </c>
      <c r="B555" s="60">
        <f>7.68 * CHOOSE(CONTROL!$C$22, $C$13, 100%, $E$13)</f>
        <v>7.68</v>
      </c>
      <c r="C555" s="60">
        <f>7.68 * CHOOSE(CONTROL!$C$22, $C$13, 100%, $E$13)</f>
        <v>7.68</v>
      </c>
      <c r="D555" s="60">
        <f>7.6988 * CHOOSE(CONTROL!$C$22, $C$13, 100%, $E$13)</f>
        <v>7.6988000000000003</v>
      </c>
      <c r="E555" s="61">
        <f>8.8944 * CHOOSE(CONTROL!$C$22, $C$13, 100%, $E$13)</f>
        <v>8.8943999999999992</v>
      </c>
      <c r="F555" s="61">
        <f>8.8944 * CHOOSE(CONTROL!$C$22, $C$13, 100%, $E$13)</f>
        <v>8.8943999999999992</v>
      </c>
      <c r="G555" s="61">
        <f>8.8946 * CHOOSE(CONTROL!$C$22, $C$13, 100%, $E$13)</f>
        <v>8.8946000000000005</v>
      </c>
      <c r="H555" s="61">
        <f>15.8094* CHOOSE(CONTROL!$C$22, $C$13, 100%, $E$13)</f>
        <v>15.8094</v>
      </c>
      <c r="I555" s="61">
        <f>15.8096 * CHOOSE(CONTROL!$C$22, $C$13, 100%, $E$13)</f>
        <v>15.8096</v>
      </c>
      <c r="J555" s="61">
        <f>8.8944 * CHOOSE(CONTROL!$C$22, $C$13, 100%, $E$13)</f>
        <v>8.8943999999999992</v>
      </c>
      <c r="K555" s="61">
        <f>8.8946 * CHOOSE(CONTROL!$C$22, $C$13, 100%, $E$13)</f>
        <v>8.8946000000000005</v>
      </c>
    </row>
    <row r="556" spans="1:11" ht="15">
      <c r="A556" s="13">
        <v>58776</v>
      </c>
      <c r="B556" s="60">
        <f>7.68 * CHOOSE(CONTROL!$C$22, $C$13, 100%, $E$13)</f>
        <v>7.68</v>
      </c>
      <c r="C556" s="60">
        <f>7.68 * CHOOSE(CONTROL!$C$22, $C$13, 100%, $E$13)</f>
        <v>7.68</v>
      </c>
      <c r="D556" s="60">
        <f>7.6988 * CHOOSE(CONTROL!$C$22, $C$13, 100%, $E$13)</f>
        <v>7.6988000000000003</v>
      </c>
      <c r="E556" s="61">
        <f>8.8224 * CHOOSE(CONTROL!$C$22, $C$13, 100%, $E$13)</f>
        <v>8.8224</v>
      </c>
      <c r="F556" s="61">
        <f>8.8224 * CHOOSE(CONTROL!$C$22, $C$13, 100%, $E$13)</f>
        <v>8.8224</v>
      </c>
      <c r="G556" s="61">
        <f>8.8226 * CHOOSE(CONTROL!$C$22, $C$13, 100%, $E$13)</f>
        <v>8.8225999999999996</v>
      </c>
      <c r="H556" s="61">
        <f>15.8423* CHOOSE(CONTROL!$C$22, $C$13, 100%, $E$13)</f>
        <v>15.8423</v>
      </c>
      <c r="I556" s="61">
        <f>15.8425 * CHOOSE(CONTROL!$C$22, $C$13, 100%, $E$13)</f>
        <v>15.842499999999999</v>
      </c>
      <c r="J556" s="61">
        <f>8.8224 * CHOOSE(CONTROL!$C$22, $C$13, 100%, $E$13)</f>
        <v>8.8224</v>
      </c>
      <c r="K556" s="61">
        <f>8.8226 * CHOOSE(CONTROL!$C$22, $C$13, 100%, $E$13)</f>
        <v>8.8225999999999996</v>
      </c>
    </row>
    <row r="557" spans="1:11" ht="15">
      <c r="A557" s="13">
        <v>58807</v>
      </c>
      <c r="B557" s="60">
        <f>7.7442 * CHOOSE(CONTROL!$C$22, $C$13, 100%, $E$13)</f>
        <v>7.7442000000000002</v>
      </c>
      <c r="C557" s="60">
        <f>7.7442 * CHOOSE(CONTROL!$C$22, $C$13, 100%, $E$13)</f>
        <v>7.7442000000000002</v>
      </c>
      <c r="D557" s="60">
        <f>7.763 * CHOOSE(CONTROL!$C$22, $C$13, 100%, $E$13)</f>
        <v>7.7629999999999999</v>
      </c>
      <c r="E557" s="61">
        <f>8.959 * CHOOSE(CONTROL!$C$22, $C$13, 100%, $E$13)</f>
        <v>8.9589999999999996</v>
      </c>
      <c r="F557" s="61">
        <f>8.959 * CHOOSE(CONTROL!$C$22, $C$13, 100%, $E$13)</f>
        <v>8.9589999999999996</v>
      </c>
      <c r="G557" s="61">
        <f>8.9592 * CHOOSE(CONTROL!$C$22, $C$13, 100%, $E$13)</f>
        <v>8.9591999999999992</v>
      </c>
      <c r="H557" s="61">
        <f>15.8753* CHOOSE(CONTROL!$C$22, $C$13, 100%, $E$13)</f>
        <v>15.875299999999999</v>
      </c>
      <c r="I557" s="61">
        <f>15.8755 * CHOOSE(CONTROL!$C$22, $C$13, 100%, $E$13)</f>
        <v>15.875500000000001</v>
      </c>
      <c r="J557" s="61">
        <f>8.959 * CHOOSE(CONTROL!$C$22, $C$13, 100%, $E$13)</f>
        <v>8.9589999999999996</v>
      </c>
      <c r="K557" s="61">
        <f>8.9592 * CHOOSE(CONTROL!$C$22, $C$13, 100%, $E$13)</f>
        <v>8.9591999999999992</v>
      </c>
    </row>
    <row r="558" spans="1:11" ht="15">
      <c r="A558" s="13">
        <v>58838</v>
      </c>
      <c r="B558" s="60">
        <f>7.7412 * CHOOSE(CONTROL!$C$22, $C$13, 100%, $E$13)</f>
        <v>7.7412000000000001</v>
      </c>
      <c r="C558" s="60">
        <f>7.7412 * CHOOSE(CONTROL!$C$22, $C$13, 100%, $E$13)</f>
        <v>7.7412000000000001</v>
      </c>
      <c r="D558" s="60">
        <f>7.76 * CHOOSE(CONTROL!$C$22, $C$13, 100%, $E$13)</f>
        <v>7.76</v>
      </c>
      <c r="E558" s="61">
        <f>8.8164 * CHOOSE(CONTROL!$C$22, $C$13, 100%, $E$13)</f>
        <v>8.8163999999999998</v>
      </c>
      <c r="F558" s="61">
        <f>8.8164 * CHOOSE(CONTROL!$C$22, $C$13, 100%, $E$13)</f>
        <v>8.8163999999999998</v>
      </c>
      <c r="G558" s="61">
        <f>8.8166 * CHOOSE(CONTROL!$C$22, $C$13, 100%, $E$13)</f>
        <v>8.8165999999999993</v>
      </c>
      <c r="H558" s="61">
        <f>15.9084* CHOOSE(CONTROL!$C$22, $C$13, 100%, $E$13)</f>
        <v>15.9084</v>
      </c>
      <c r="I558" s="61">
        <f>15.9086 * CHOOSE(CONTROL!$C$22, $C$13, 100%, $E$13)</f>
        <v>15.9086</v>
      </c>
      <c r="J558" s="61">
        <f>8.8164 * CHOOSE(CONTROL!$C$22, $C$13, 100%, $E$13)</f>
        <v>8.8163999999999998</v>
      </c>
      <c r="K558" s="61">
        <f>8.8166 * CHOOSE(CONTROL!$C$22, $C$13, 100%, $E$13)</f>
        <v>8.8165999999999993</v>
      </c>
    </row>
    <row r="559" spans="1:11" ht="15">
      <c r="A559" s="13">
        <v>58866</v>
      </c>
      <c r="B559" s="60">
        <f>7.7381 * CHOOSE(CONTROL!$C$22, $C$13, 100%, $E$13)</f>
        <v>7.7381000000000002</v>
      </c>
      <c r="C559" s="60">
        <f>7.7381 * CHOOSE(CONTROL!$C$22, $C$13, 100%, $E$13)</f>
        <v>7.7381000000000002</v>
      </c>
      <c r="D559" s="60">
        <f>7.7569 * CHOOSE(CONTROL!$C$22, $C$13, 100%, $E$13)</f>
        <v>7.7568999999999999</v>
      </c>
      <c r="E559" s="61">
        <f>8.925 * CHOOSE(CONTROL!$C$22, $C$13, 100%, $E$13)</f>
        <v>8.9250000000000007</v>
      </c>
      <c r="F559" s="61">
        <f>8.925 * CHOOSE(CONTROL!$C$22, $C$13, 100%, $E$13)</f>
        <v>8.9250000000000007</v>
      </c>
      <c r="G559" s="61">
        <f>8.9252 * CHOOSE(CONTROL!$C$22, $C$13, 100%, $E$13)</f>
        <v>8.9252000000000002</v>
      </c>
      <c r="H559" s="61">
        <f>15.9415* CHOOSE(CONTROL!$C$22, $C$13, 100%, $E$13)</f>
        <v>15.9415</v>
      </c>
      <c r="I559" s="61">
        <f>15.9417 * CHOOSE(CONTROL!$C$22, $C$13, 100%, $E$13)</f>
        <v>15.941700000000001</v>
      </c>
      <c r="J559" s="61">
        <f>8.925 * CHOOSE(CONTROL!$C$22, $C$13, 100%, $E$13)</f>
        <v>8.9250000000000007</v>
      </c>
      <c r="K559" s="61">
        <f>8.9252 * CHOOSE(CONTROL!$C$22, $C$13, 100%, $E$13)</f>
        <v>8.9252000000000002</v>
      </c>
    </row>
    <row r="560" spans="1:11" ht="15">
      <c r="A560" s="13">
        <v>58897</v>
      </c>
      <c r="B560" s="60">
        <f>7.7395 * CHOOSE(CONTROL!$C$22, $C$13, 100%, $E$13)</f>
        <v>7.7394999999999996</v>
      </c>
      <c r="C560" s="60">
        <f>7.7395 * CHOOSE(CONTROL!$C$22, $C$13, 100%, $E$13)</f>
        <v>7.7394999999999996</v>
      </c>
      <c r="D560" s="60">
        <f>7.7583 * CHOOSE(CONTROL!$C$22, $C$13, 100%, $E$13)</f>
        <v>7.7583000000000002</v>
      </c>
      <c r="E560" s="61">
        <f>9.0397 * CHOOSE(CONTROL!$C$22, $C$13, 100%, $E$13)</f>
        <v>9.0396999999999998</v>
      </c>
      <c r="F560" s="61">
        <f>9.0397 * CHOOSE(CONTROL!$C$22, $C$13, 100%, $E$13)</f>
        <v>9.0396999999999998</v>
      </c>
      <c r="G560" s="61">
        <f>9.0398 * CHOOSE(CONTROL!$C$22, $C$13, 100%, $E$13)</f>
        <v>9.0397999999999996</v>
      </c>
      <c r="H560" s="61">
        <f>15.9748* CHOOSE(CONTROL!$C$22, $C$13, 100%, $E$13)</f>
        <v>15.9748</v>
      </c>
      <c r="I560" s="61">
        <f>15.9749 * CHOOSE(CONTROL!$C$22, $C$13, 100%, $E$13)</f>
        <v>15.9749</v>
      </c>
      <c r="J560" s="61">
        <f>9.0397 * CHOOSE(CONTROL!$C$22, $C$13, 100%, $E$13)</f>
        <v>9.0396999999999998</v>
      </c>
      <c r="K560" s="61">
        <f>9.0398 * CHOOSE(CONTROL!$C$22, $C$13, 100%, $E$13)</f>
        <v>9.0397999999999996</v>
      </c>
    </row>
    <row r="561" spans="1:11" ht="15">
      <c r="A561" s="13">
        <v>58927</v>
      </c>
      <c r="B561" s="60">
        <f>7.7395 * CHOOSE(CONTROL!$C$22, $C$13, 100%, $E$13)</f>
        <v>7.7394999999999996</v>
      </c>
      <c r="C561" s="60">
        <f>7.7395 * CHOOSE(CONTROL!$C$22, $C$13, 100%, $E$13)</f>
        <v>7.7394999999999996</v>
      </c>
      <c r="D561" s="60">
        <f>7.7771 * CHOOSE(CONTROL!$C$22, $C$13, 100%, $E$13)</f>
        <v>7.7770999999999999</v>
      </c>
      <c r="E561" s="61">
        <f>9.0842 * CHOOSE(CONTROL!$C$22, $C$13, 100%, $E$13)</f>
        <v>9.0841999999999992</v>
      </c>
      <c r="F561" s="61">
        <f>9.0842 * CHOOSE(CONTROL!$C$22, $C$13, 100%, $E$13)</f>
        <v>9.0841999999999992</v>
      </c>
      <c r="G561" s="61">
        <f>9.0866 * CHOOSE(CONTROL!$C$22, $C$13, 100%, $E$13)</f>
        <v>9.0866000000000007</v>
      </c>
      <c r="H561" s="61">
        <f>16.008* CHOOSE(CONTROL!$C$22, $C$13, 100%, $E$13)</f>
        <v>16.007999999999999</v>
      </c>
      <c r="I561" s="61">
        <f>16.0104 * CHOOSE(CONTROL!$C$22, $C$13, 100%, $E$13)</f>
        <v>16.010400000000001</v>
      </c>
      <c r="J561" s="61">
        <f>9.0842 * CHOOSE(CONTROL!$C$22, $C$13, 100%, $E$13)</f>
        <v>9.0841999999999992</v>
      </c>
      <c r="K561" s="61">
        <f>9.0866 * CHOOSE(CONTROL!$C$22, $C$13, 100%, $E$13)</f>
        <v>9.0866000000000007</v>
      </c>
    </row>
    <row r="562" spans="1:11" ht="15">
      <c r="A562" s="13">
        <v>58958</v>
      </c>
      <c r="B562" s="60">
        <f>7.7456 * CHOOSE(CONTROL!$C$22, $C$13, 100%, $E$13)</f>
        <v>7.7455999999999996</v>
      </c>
      <c r="C562" s="60">
        <f>7.7456 * CHOOSE(CONTROL!$C$22, $C$13, 100%, $E$13)</f>
        <v>7.7455999999999996</v>
      </c>
      <c r="D562" s="60">
        <f>7.7832 * CHOOSE(CONTROL!$C$22, $C$13, 100%, $E$13)</f>
        <v>7.7831999999999999</v>
      </c>
      <c r="E562" s="61">
        <f>9.0439 * CHOOSE(CONTROL!$C$22, $C$13, 100%, $E$13)</f>
        <v>9.0439000000000007</v>
      </c>
      <c r="F562" s="61">
        <f>9.0439 * CHOOSE(CONTROL!$C$22, $C$13, 100%, $E$13)</f>
        <v>9.0439000000000007</v>
      </c>
      <c r="G562" s="61">
        <f>9.0462 * CHOOSE(CONTROL!$C$22, $C$13, 100%, $E$13)</f>
        <v>9.0462000000000007</v>
      </c>
      <c r="H562" s="61">
        <f>16.0414* CHOOSE(CONTROL!$C$22, $C$13, 100%, $E$13)</f>
        <v>16.041399999999999</v>
      </c>
      <c r="I562" s="61">
        <f>16.0437 * CHOOSE(CONTROL!$C$22, $C$13, 100%, $E$13)</f>
        <v>16.043700000000001</v>
      </c>
      <c r="J562" s="61">
        <f>9.0439 * CHOOSE(CONTROL!$C$22, $C$13, 100%, $E$13)</f>
        <v>9.0439000000000007</v>
      </c>
      <c r="K562" s="61">
        <f>9.0462 * CHOOSE(CONTROL!$C$22, $C$13, 100%, $E$13)</f>
        <v>9.0462000000000007</v>
      </c>
    </row>
    <row r="563" spans="1:11" ht="15">
      <c r="A563" s="13">
        <v>58988</v>
      </c>
      <c r="B563" s="60">
        <f>7.8587 * CHOOSE(CONTROL!$C$22, $C$13, 100%, $E$13)</f>
        <v>7.8586999999999998</v>
      </c>
      <c r="C563" s="60">
        <f>7.8587 * CHOOSE(CONTROL!$C$22, $C$13, 100%, $E$13)</f>
        <v>7.8586999999999998</v>
      </c>
      <c r="D563" s="60">
        <f>7.8963 * CHOOSE(CONTROL!$C$22, $C$13, 100%, $E$13)</f>
        <v>7.8963000000000001</v>
      </c>
      <c r="E563" s="61">
        <f>9.2128 * CHOOSE(CONTROL!$C$22, $C$13, 100%, $E$13)</f>
        <v>9.2127999999999997</v>
      </c>
      <c r="F563" s="61">
        <f>9.2128 * CHOOSE(CONTROL!$C$22, $C$13, 100%, $E$13)</f>
        <v>9.2127999999999997</v>
      </c>
      <c r="G563" s="61">
        <f>9.2151 * CHOOSE(CONTROL!$C$22, $C$13, 100%, $E$13)</f>
        <v>9.2150999999999996</v>
      </c>
      <c r="H563" s="61">
        <f>16.0748* CHOOSE(CONTROL!$C$22, $C$13, 100%, $E$13)</f>
        <v>16.0748</v>
      </c>
      <c r="I563" s="61">
        <f>16.0771 * CHOOSE(CONTROL!$C$22, $C$13, 100%, $E$13)</f>
        <v>16.077100000000002</v>
      </c>
      <c r="J563" s="61">
        <f>9.2128 * CHOOSE(CONTROL!$C$22, $C$13, 100%, $E$13)</f>
        <v>9.2127999999999997</v>
      </c>
      <c r="K563" s="61">
        <f>9.2151 * CHOOSE(CONTROL!$C$22, $C$13, 100%, $E$13)</f>
        <v>9.2150999999999996</v>
      </c>
    </row>
    <row r="564" spans="1:11" ht="15">
      <c r="A564" s="13">
        <v>59019</v>
      </c>
      <c r="B564" s="60">
        <f>7.8654 * CHOOSE(CONTROL!$C$22, $C$13, 100%, $E$13)</f>
        <v>7.8654000000000002</v>
      </c>
      <c r="C564" s="60">
        <f>7.8654 * CHOOSE(CONTROL!$C$22, $C$13, 100%, $E$13)</f>
        <v>7.8654000000000002</v>
      </c>
      <c r="D564" s="60">
        <f>7.903 * CHOOSE(CONTROL!$C$22, $C$13, 100%, $E$13)</f>
        <v>7.9029999999999996</v>
      </c>
      <c r="E564" s="61">
        <f>9.0837 * CHOOSE(CONTROL!$C$22, $C$13, 100%, $E$13)</f>
        <v>9.0837000000000003</v>
      </c>
      <c r="F564" s="61">
        <f>9.0837 * CHOOSE(CONTROL!$C$22, $C$13, 100%, $E$13)</f>
        <v>9.0837000000000003</v>
      </c>
      <c r="G564" s="61">
        <f>9.086 * CHOOSE(CONTROL!$C$22, $C$13, 100%, $E$13)</f>
        <v>9.0860000000000003</v>
      </c>
      <c r="H564" s="61">
        <f>16.1083* CHOOSE(CONTROL!$C$22, $C$13, 100%, $E$13)</f>
        <v>16.1083</v>
      </c>
      <c r="I564" s="61">
        <f>16.1106 * CHOOSE(CONTROL!$C$22, $C$13, 100%, $E$13)</f>
        <v>16.110600000000002</v>
      </c>
      <c r="J564" s="61">
        <f>9.0837 * CHOOSE(CONTROL!$C$22, $C$13, 100%, $E$13)</f>
        <v>9.0837000000000003</v>
      </c>
      <c r="K564" s="61">
        <f>9.086 * CHOOSE(CONTROL!$C$22, $C$13, 100%, $E$13)</f>
        <v>9.0860000000000003</v>
      </c>
    </row>
    <row r="565" spans="1:11" ht="15">
      <c r="A565" s="13">
        <v>59050</v>
      </c>
      <c r="B565" s="60">
        <f>7.8623 * CHOOSE(CONTROL!$C$22, $C$13, 100%, $E$13)</f>
        <v>7.8623000000000003</v>
      </c>
      <c r="C565" s="60">
        <f>7.8623 * CHOOSE(CONTROL!$C$22, $C$13, 100%, $E$13)</f>
        <v>7.8623000000000003</v>
      </c>
      <c r="D565" s="60">
        <f>7.9 * CHOOSE(CONTROL!$C$22, $C$13, 100%, $E$13)</f>
        <v>7.9</v>
      </c>
      <c r="E565" s="61">
        <f>9.0667 * CHOOSE(CONTROL!$C$22, $C$13, 100%, $E$13)</f>
        <v>9.0667000000000009</v>
      </c>
      <c r="F565" s="61">
        <f>9.0667 * CHOOSE(CONTROL!$C$22, $C$13, 100%, $E$13)</f>
        <v>9.0667000000000009</v>
      </c>
      <c r="G565" s="61">
        <f>9.069 * CHOOSE(CONTROL!$C$22, $C$13, 100%, $E$13)</f>
        <v>9.0690000000000008</v>
      </c>
      <c r="H565" s="61">
        <f>16.1419* CHOOSE(CONTROL!$C$22, $C$13, 100%, $E$13)</f>
        <v>16.1419</v>
      </c>
      <c r="I565" s="61">
        <f>16.1442 * CHOOSE(CONTROL!$C$22, $C$13, 100%, $E$13)</f>
        <v>16.144200000000001</v>
      </c>
      <c r="J565" s="61">
        <f>9.0667 * CHOOSE(CONTROL!$C$22, $C$13, 100%, $E$13)</f>
        <v>9.0667000000000009</v>
      </c>
      <c r="K565" s="61">
        <f>9.069 * CHOOSE(CONTROL!$C$22, $C$13, 100%, $E$13)</f>
        <v>9.0690000000000008</v>
      </c>
    </row>
    <row r="566" spans="1:11" ht="15">
      <c r="A566" s="13">
        <v>59080</v>
      </c>
      <c r="B566" s="60">
        <f>7.8721 * CHOOSE(CONTROL!$C$22, $C$13, 100%, $E$13)</f>
        <v>7.8720999999999997</v>
      </c>
      <c r="C566" s="60">
        <f>7.8721 * CHOOSE(CONTROL!$C$22, $C$13, 100%, $E$13)</f>
        <v>7.8720999999999997</v>
      </c>
      <c r="D566" s="60">
        <f>7.8909 * CHOOSE(CONTROL!$C$22, $C$13, 100%, $E$13)</f>
        <v>7.8909000000000002</v>
      </c>
      <c r="E566" s="61">
        <f>9.1127 * CHOOSE(CONTROL!$C$22, $C$13, 100%, $E$13)</f>
        <v>9.1127000000000002</v>
      </c>
      <c r="F566" s="61">
        <f>9.1127 * CHOOSE(CONTROL!$C$22, $C$13, 100%, $E$13)</f>
        <v>9.1127000000000002</v>
      </c>
      <c r="G566" s="61">
        <f>9.1129 * CHOOSE(CONTROL!$C$22, $C$13, 100%, $E$13)</f>
        <v>9.1128999999999998</v>
      </c>
      <c r="H566" s="61">
        <f>16.1755* CHOOSE(CONTROL!$C$22, $C$13, 100%, $E$13)</f>
        <v>16.1755</v>
      </c>
      <c r="I566" s="61">
        <f>16.1757 * CHOOSE(CONTROL!$C$22, $C$13, 100%, $E$13)</f>
        <v>16.175699999999999</v>
      </c>
      <c r="J566" s="61">
        <f>9.1127 * CHOOSE(CONTROL!$C$22, $C$13, 100%, $E$13)</f>
        <v>9.1127000000000002</v>
      </c>
      <c r="K566" s="61">
        <f>9.1129 * CHOOSE(CONTROL!$C$22, $C$13, 100%, $E$13)</f>
        <v>9.1128999999999998</v>
      </c>
    </row>
    <row r="567" spans="1:11" ht="15">
      <c r="A567" s="13">
        <v>59111</v>
      </c>
      <c r="B567" s="60">
        <f>7.8751 * CHOOSE(CONTROL!$C$22, $C$13, 100%, $E$13)</f>
        <v>7.8750999999999998</v>
      </c>
      <c r="C567" s="60">
        <f>7.8751 * CHOOSE(CONTROL!$C$22, $C$13, 100%, $E$13)</f>
        <v>7.8750999999999998</v>
      </c>
      <c r="D567" s="60">
        <f>7.894 * CHOOSE(CONTROL!$C$22, $C$13, 100%, $E$13)</f>
        <v>7.8940000000000001</v>
      </c>
      <c r="E567" s="61">
        <f>9.1446 * CHOOSE(CONTROL!$C$22, $C$13, 100%, $E$13)</f>
        <v>9.1446000000000005</v>
      </c>
      <c r="F567" s="61">
        <f>9.1446 * CHOOSE(CONTROL!$C$22, $C$13, 100%, $E$13)</f>
        <v>9.1446000000000005</v>
      </c>
      <c r="G567" s="61">
        <f>9.1448 * CHOOSE(CONTROL!$C$22, $C$13, 100%, $E$13)</f>
        <v>9.1448</v>
      </c>
      <c r="H567" s="61">
        <f>16.2092* CHOOSE(CONTROL!$C$22, $C$13, 100%, $E$13)</f>
        <v>16.209199999999999</v>
      </c>
      <c r="I567" s="61">
        <f>16.2094 * CHOOSE(CONTROL!$C$22, $C$13, 100%, $E$13)</f>
        <v>16.209399999999999</v>
      </c>
      <c r="J567" s="61">
        <f>9.1446 * CHOOSE(CONTROL!$C$22, $C$13, 100%, $E$13)</f>
        <v>9.1446000000000005</v>
      </c>
      <c r="K567" s="61">
        <f>9.1448 * CHOOSE(CONTROL!$C$22, $C$13, 100%, $E$13)</f>
        <v>9.1448</v>
      </c>
    </row>
    <row r="568" spans="1:11" ht="15">
      <c r="A568" s="13">
        <v>59141</v>
      </c>
      <c r="B568" s="60">
        <f>7.8751 * CHOOSE(CONTROL!$C$22, $C$13, 100%, $E$13)</f>
        <v>7.8750999999999998</v>
      </c>
      <c r="C568" s="60">
        <f>7.8751 * CHOOSE(CONTROL!$C$22, $C$13, 100%, $E$13)</f>
        <v>7.8750999999999998</v>
      </c>
      <c r="D568" s="60">
        <f>7.894 * CHOOSE(CONTROL!$C$22, $C$13, 100%, $E$13)</f>
        <v>7.8940000000000001</v>
      </c>
      <c r="E568" s="61">
        <f>9.0703 * CHOOSE(CONTROL!$C$22, $C$13, 100%, $E$13)</f>
        <v>9.0702999999999996</v>
      </c>
      <c r="F568" s="61">
        <f>9.0703 * CHOOSE(CONTROL!$C$22, $C$13, 100%, $E$13)</f>
        <v>9.0702999999999996</v>
      </c>
      <c r="G568" s="61">
        <f>9.0705 * CHOOSE(CONTROL!$C$22, $C$13, 100%, $E$13)</f>
        <v>9.0704999999999991</v>
      </c>
      <c r="H568" s="61">
        <f>16.243* CHOOSE(CONTROL!$C$22, $C$13, 100%, $E$13)</f>
        <v>16.242999999999999</v>
      </c>
      <c r="I568" s="61">
        <f>16.2431 * CHOOSE(CONTROL!$C$22, $C$13, 100%, $E$13)</f>
        <v>16.243099999999998</v>
      </c>
      <c r="J568" s="61">
        <f>9.0703 * CHOOSE(CONTROL!$C$22, $C$13, 100%, $E$13)</f>
        <v>9.0702999999999996</v>
      </c>
      <c r="K568" s="61">
        <f>9.0705 * CHOOSE(CONTROL!$C$22, $C$13, 100%, $E$13)</f>
        <v>9.0704999999999991</v>
      </c>
    </row>
    <row r="569" spans="1:11" ht="15">
      <c r="A569" s="13">
        <v>59172</v>
      </c>
      <c r="B569" s="60">
        <f>7.9408 * CHOOSE(CONTROL!$C$22, $C$13, 100%, $E$13)</f>
        <v>7.9408000000000003</v>
      </c>
      <c r="C569" s="60">
        <f>7.9408 * CHOOSE(CONTROL!$C$22, $C$13, 100%, $E$13)</f>
        <v>7.9408000000000003</v>
      </c>
      <c r="D569" s="60">
        <f>7.9596 * CHOOSE(CONTROL!$C$22, $C$13, 100%, $E$13)</f>
        <v>7.9596</v>
      </c>
      <c r="E569" s="61">
        <f>9.2108 * CHOOSE(CONTROL!$C$22, $C$13, 100%, $E$13)</f>
        <v>9.2108000000000008</v>
      </c>
      <c r="F569" s="61">
        <f>9.2108 * CHOOSE(CONTROL!$C$22, $C$13, 100%, $E$13)</f>
        <v>9.2108000000000008</v>
      </c>
      <c r="G569" s="61">
        <f>9.211 * CHOOSE(CONTROL!$C$22, $C$13, 100%, $E$13)</f>
        <v>9.2110000000000003</v>
      </c>
      <c r="H569" s="61">
        <f>16.2768* CHOOSE(CONTROL!$C$22, $C$13, 100%, $E$13)</f>
        <v>16.276800000000001</v>
      </c>
      <c r="I569" s="61">
        <f>16.277 * CHOOSE(CONTROL!$C$22, $C$13, 100%, $E$13)</f>
        <v>16.277000000000001</v>
      </c>
      <c r="J569" s="61">
        <f>9.2108 * CHOOSE(CONTROL!$C$22, $C$13, 100%, $E$13)</f>
        <v>9.2108000000000008</v>
      </c>
      <c r="K569" s="61">
        <f>9.211 * CHOOSE(CONTROL!$C$22, $C$13, 100%, $E$13)</f>
        <v>9.2110000000000003</v>
      </c>
    </row>
    <row r="570" spans="1:11" ht="15">
      <c r="A570" s="13">
        <v>59203</v>
      </c>
      <c r="B570" s="60">
        <f>7.9378 * CHOOSE(CONTROL!$C$22, $C$13, 100%, $E$13)</f>
        <v>7.9378000000000002</v>
      </c>
      <c r="C570" s="60">
        <f>7.9378 * CHOOSE(CONTROL!$C$22, $C$13, 100%, $E$13)</f>
        <v>7.9378000000000002</v>
      </c>
      <c r="D570" s="60">
        <f>7.9566 * CHOOSE(CONTROL!$C$22, $C$13, 100%, $E$13)</f>
        <v>7.9565999999999999</v>
      </c>
      <c r="E570" s="61">
        <f>9.0638 * CHOOSE(CONTROL!$C$22, $C$13, 100%, $E$13)</f>
        <v>9.0638000000000005</v>
      </c>
      <c r="F570" s="61">
        <f>9.0638 * CHOOSE(CONTROL!$C$22, $C$13, 100%, $E$13)</f>
        <v>9.0638000000000005</v>
      </c>
      <c r="G570" s="61">
        <f>9.064 * CHOOSE(CONTROL!$C$22, $C$13, 100%, $E$13)</f>
        <v>9.0640000000000001</v>
      </c>
      <c r="H570" s="61">
        <f>16.3107* CHOOSE(CONTROL!$C$22, $C$13, 100%, $E$13)</f>
        <v>16.310700000000001</v>
      </c>
      <c r="I570" s="61">
        <f>16.3109 * CHOOSE(CONTROL!$C$22, $C$13, 100%, $E$13)</f>
        <v>16.3109</v>
      </c>
      <c r="J570" s="61">
        <f>9.0638 * CHOOSE(CONTROL!$C$22, $C$13, 100%, $E$13)</f>
        <v>9.0638000000000005</v>
      </c>
      <c r="K570" s="61">
        <f>9.064 * CHOOSE(CONTROL!$C$22, $C$13, 100%, $E$13)</f>
        <v>9.0640000000000001</v>
      </c>
    </row>
    <row r="571" spans="1:11" ht="15">
      <c r="A571" s="13">
        <v>59231</v>
      </c>
      <c r="B571" s="60">
        <f>7.9347 * CHOOSE(CONTROL!$C$22, $C$13, 100%, $E$13)</f>
        <v>7.9347000000000003</v>
      </c>
      <c r="C571" s="60">
        <f>7.9347 * CHOOSE(CONTROL!$C$22, $C$13, 100%, $E$13)</f>
        <v>7.9347000000000003</v>
      </c>
      <c r="D571" s="60">
        <f>7.9536 * CHOOSE(CONTROL!$C$22, $C$13, 100%, $E$13)</f>
        <v>7.9535999999999998</v>
      </c>
      <c r="E571" s="61">
        <f>9.1759 * CHOOSE(CONTROL!$C$22, $C$13, 100%, $E$13)</f>
        <v>9.1759000000000004</v>
      </c>
      <c r="F571" s="61">
        <f>9.1759 * CHOOSE(CONTROL!$C$22, $C$13, 100%, $E$13)</f>
        <v>9.1759000000000004</v>
      </c>
      <c r="G571" s="61">
        <f>9.1761 * CHOOSE(CONTROL!$C$22, $C$13, 100%, $E$13)</f>
        <v>9.1760999999999999</v>
      </c>
      <c r="H571" s="61">
        <f>16.3447* CHOOSE(CONTROL!$C$22, $C$13, 100%, $E$13)</f>
        <v>16.3447</v>
      </c>
      <c r="I571" s="61">
        <f>16.3449 * CHOOSE(CONTROL!$C$22, $C$13, 100%, $E$13)</f>
        <v>16.344899999999999</v>
      </c>
      <c r="J571" s="61">
        <f>9.1759 * CHOOSE(CONTROL!$C$22, $C$13, 100%, $E$13)</f>
        <v>9.1759000000000004</v>
      </c>
      <c r="K571" s="61">
        <f>9.1761 * CHOOSE(CONTROL!$C$22, $C$13, 100%, $E$13)</f>
        <v>9.1760999999999999</v>
      </c>
    </row>
    <row r="572" spans="1:11" ht="15">
      <c r="A572" s="13">
        <v>59262</v>
      </c>
      <c r="B572" s="60">
        <f>7.9363 * CHOOSE(CONTROL!$C$22, $C$13, 100%, $E$13)</f>
        <v>7.9363000000000001</v>
      </c>
      <c r="C572" s="60">
        <f>7.9363 * CHOOSE(CONTROL!$C$22, $C$13, 100%, $E$13)</f>
        <v>7.9363000000000001</v>
      </c>
      <c r="D572" s="60">
        <f>7.9551 * CHOOSE(CONTROL!$C$22, $C$13, 100%, $E$13)</f>
        <v>7.9550999999999998</v>
      </c>
      <c r="E572" s="61">
        <f>9.2943 * CHOOSE(CONTROL!$C$22, $C$13, 100%, $E$13)</f>
        <v>9.2942999999999998</v>
      </c>
      <c r="F572" s="61">
        <f>9.2943 * CHOOSE(CONTROL!$C$22, $C$13, 100%, $E$13)</f>
        <v>9.2942999999999998</v>
      </c>
      <c r="G572" s="61">
        <f>9.2945 * CHOOSE(CONTROL!$C$22, $C$13, 100%, $E$13)</f>
        <v>9.2944999999999993</v>
      </c>
      <c r="H572" s="61">
        <f>16.3787* CHOOSE(CONTROL!$C$22, $C$13, 100%, $E$13)</f>
        <v>16.378699999999998</v>
      </c>
      <c r="I572" s="61">
        <f>16.3789 * CHOOSE(CONTROL!$C$22, $C$13, 100%, $E$13)</f>
        <v>16.378900000000002</v>
      </c>
      <c r="J572" s="61">
        <f>9.2943 * CHOOSE(CONTROL!$C$22, $C$13, 100%, $E$13)</f>
        <v>9.2942999999999998</v>
      </c>
      <c r="K572" s="61">
        <f>9.2945 * CHOOSE(CONTROL!$C$22, $C$13, 100%, $E$13)</f>
        <v>9.2944999999999993</v>
      </c>
    </row>
    <row r="573" spans="1:11" ht="15">
      <c r="A573" s="13">
        <v>59292</v>
      </c>
      <c r="B573" s="60">
        <f>7.9363 * CHOOSE(CONTROL!$C$22, $C$13, 100%, $E$13)</f>
        <v>7.9363000000000001</v>
      </c>
      <c r="C573" s="60">
        <f>7.9363 * CHOOSE(CONTROL!$C$22, $C$13, 100%, $E$13)</f>
        <v>7.9363000000000001</v>
      </c>
      <c r="D573" s="60">
        <f>7.9739 * CHOOSE(CONTROL!$C$22, $C$13, 100%, $E$13)</f>
        <v>7.9739000000000004</v>
      </c>
      <c r="E573" s="61">
        <f>9.3403 * CHOOSE(CONTROL!$C$22, $C$13, 100%, $E$13)</f>
        <v>9.3402999999999992</v>
      </c>
      <c r="F573" s="61">
        <f>9.3403 * CHOOSE(CONTROL!$C$22, $C$13, 100%, $E$13)</f>
        <v>9.3402999999999992</v>
      </c>
      <c r="G573" s="61">
        <f>9.3427 * CHOOSE(CONTROL!$C$22, $C$13, 100%, $E$13)</f>
        <v>9.3427000000000007</v>
      </c>
      <c r="H573" s="61">
        <f>16.4129* CHOOSE(CONTROL!$C$22, $C$13, 100%, $E$13)</f>
        <v>16.4129</v>
      </c>
      <c r="I573" s="61">
        <f>16.4152 * CHOOSE(CONTROL!$C$22, $C$13, 100%, $E$13)</f>
        <v>16.415199999999999</v>
      </c>
      <c r="J573" s="61">
        <f>9.3403 * CHOOSE(CONTROL!$C$22, $C$13, 100%, $E$13)</f>
        <v>9.3402999999999992</v>
      </c>
      <c r="K573" s="61">
        <f>9.3427 * CHOOSE(CONTROL!$C$22, $C$13, 100%, $E$13)</f>
        <v>9.3427000000000007</v>
      </c>
    </row>
    <row r="574" spans="1:11" ht="15">
      <c r="A574" s="13">
        <v>59323</v>
      </c>
      <c r="B574" s="60">
        <f>7.9424 * CHOOSE(CONTROL!$C$22, $C$13, 100%, $E$13)</f>
        <v>7.9424000000000001</v>
      </c>
      <c r="C574" s="60">
        <f>7.9424 * CHOOSE(CONTROL!$C$22, $C$13, 100%, $E$13)</f>
        <v>7.9424000000000001</v>
      </c>
      <c r="D574" s="60">
        <f>7.98 * CHOOSE(CONTROL!$C$22, $C$13, 100%, $E$13)</f>
        <v>7.98</v>
      </c>
      <c r="E574" s="61">
        <f>9.2986 * CHOOSE(CONTROL!$C$22, $C$13, 100%, $E$13)</f>
        <v>9.2986000000000004</v>
      </c>
      <c r="F574" s="61">
        <f>9.2986 * CHOOSE(CONTROL!$C$22, $C$13, 100%, $E$13)</f>
        <v>9.2986000000000004</v>
      </c>
      <c r="G574" s="61">
        <f>9.3009 * CHOOSE(CONTROL!$C$22, $C$13, 100%, $E$13)</f>
        <v>9.3009000000000004</v>
      </c>
      <c r="H574" s="61">
        <f>16.4471* CHOOSE(CONTROL!$C$22, $C$13, 100%, $E$13)</f>
        <v>16.447099999999999</v>
      </c>
      <c r="I574" s="61">
        <f>16.4494 * CHOOSE(CONTROL!$C$22, $C$13, 100%, $E$13)</f>
        <v>16.449400000000001</v>
      </c>
      <c r="J574" s="61">
        <f>9.2986 * CHOOSE(CONTROL!$C$22, $C$13, 100%, $E$13)</f>
        <v>9.2986000000000004</v>
      </c>
      <c r="K574" s="61">
        <f>9.3009 * CHOOSE(CONTROL!$C$22, $C$13, 100%, $E$13)</f>
        <v>9.3009000000000004</v>
      </c>
    </row>
    <row r="575" spans="1:11" ht="15">
      <c r="A575" s="13">
        <v>59353</v>
      </c>
      <c r="B575" s="60">
        <f>8.058 * CHOOSE(CONTROL!$C$22, $C$13, 100%, $E$13)</f>
        <v>8.0579999999999998</v>
      </c>
      <c r="C575" s="60">
        <f>8.058 * CHOOSE(CONTROL!$C$22, $C$13, 100%, $E$13)</f>
        <v>8.0579999999999998</v>
      </c>
      <c r="D575" s="60">
        <f>8.0956 * CHOOSE(CONTROL!$C$22, $C$13, 100%, $E$13)</f>
        <v>8.0955999999999992</v>
      </c>
      <c r="E575" s="61">
        <f>9.4719 * CHOOSE(CONTROL!$C$22, $C$13, 100%, $E$13)</f>
        <v>9.4718999999999998</v>
      </c>
      <c r="F575" s="61">
        <f>9.4719 * CHOOSE(CONTROL!$C$22, $C$13, 100%, $E$13)</f>
        <v>9.4718999999999998</v>
      </c>
      <c r="G575" s="61">
        <f>9.4742 * CHOOSE(CONTROL!$C$22, $C$13, 100%, $E$13)</f>
        <v>9.4741999999999997</v>
      </c>
      <c r="H575" s="61">
        <f>16.4813* CHOOSE(CONTROL!$C$22, $C$13, 100%, $E$13)</f>
        <v>16.481300000000001</v>
      </c>
      <c r="I575" s="61">
        <f>16.4836 * CHOOSE(CONTROL!$C$22, $C$13, 100%, $E$13)</f>
        <v>16.483599999999999</v>
      </c>
      <c r="J575" s="61">
        <f>9.4719 * CHOOSE(CONTROL!$C$22, $C$13, 100%, $E$13)</f>
        <v>9.4718999999999998</v>
      </c>
      <c r="K575" s="61">
        <f>9.4742 * CHOOSE(CONTROL!$C$22, $C$13, 100%, $E$13)</f>
        <v>9.4741999999999997</v>
      </c>
    </row>
    <row r="576" spans="1:11" ht="15">
      <c r="A576" s="13">
        <v>59384</v>
      </c>
      <c r="B576" s="60">
        <f>8.0647 * CHOOSE(CONTROL!$C$22, $C$13, 100%, $E$13)</f>
        <v>8.0647000000000002</v>
      </c>
      <c r="C576" s="60">
        <f>8.0647 * CHOOSE(CONTROL!$C$22, $C$13, 100%, $E$13)</f>
        <v>8.0647000000000002</v>
      </c>
      <c r="D576" s="60">
        <f>8.1023 * CHOOSE(CONTROL!$C$22, $C$13, 100%, $E$13)</f>
        <v>8.1022999999999996</v>
      </c>
      <c r="E576" s="61">
        <f>9.3385 * CHOOSE(CONTROL!$C$22, $C$13, 100%, $E$13)</f>
        <v>9.3384999999999998</v>
      </c>
      <c r="F576" s="61">
        <f>9.3385 * CHOOSE(CONTROL!$C$22, $C$13, 100%, $E$13)</f>
        <v>9.3384999999999998</v>
      </c>
      <c r="G576" s="61">
        <f>9.3408 * CHOOSE(CONTROL!$C$22, $C$13, 100%, $E$13)</f>
        <v>9.3407999999999998</v>
      </c>
      <c r="H576" s="61">
        <f>16.5157* CHOOSE(CONTROL!$C$22, $C$13, 100%, $E$13)</f>
        <v>16.515699999999999</v>
      </c>
      <c r="I576" s="61">
        <f>16.518 * CHOOSE(CONTROL!$C$22, $C$13, 100%, $E$13)</f>
        <v>16.518000000000001</v>
      </c>
      <c r="J576" s="61">
        <f>9.3385 * CHOOSE(CONTROL!$C$22, $C$13, 100%, $E$13)</f>
        <v>9.3384999999999998</v>
      </c>
      <c r="K576" s="61">
        <f>9.3408 * CHOOSE(CONTROL!$C$22, $C$13, 100%, $E$13)</f>
        <v>9.3407999999999998</v>
      </c>
    </row>
    <row r="577" spans="1:11" ht="15">
      <c r="A577" s="13">
        <v>59415</v>
      </c>
      <c r="B577" s="60">
        <f>8.0616 * CHOOSE(CONTROL!$C$22, $C$13, 100%, $E$13)</f>
        <v>8.0616000000000003</v>
      </c>
      <c r="C577" s="60">
        <f>8.0616 * CHOOSE(CONTROL!$C$22, $C$13, 100%, $E$13)</f>
        <v>8.0616000000000003</v>
      </c>
      <c r="D577" s="60">
        <f>8.0993 * CHOOSE(CONTROL!$C$22, $C$13, 100%, $E$13)</f>
        <v>8.0992999999999995</v>
      </c>
      <c r="E577" s="61">
        <f>9.3211 * CHOOSE(CONTROL!$C$22, $C$13, 100%, $E$13)</f>
        <v>9.3210999999999995</v>
      </c>
      <c r="F577" s="61">
        <f>9.3211 * CHOOSE(CONTROL!$C$22, $C$13, 100%, $E$13)</f>
        <v>9.3210999999999995</v>
      </c>
      <c r="G577" s="61">
        <f>9.3234 * CHOOSE(CONTROL!$C$22, $C$13, 100%, $E$13)</f>
        <v>9.3233999999999995</v>
      </c>
      <c r="H577" s="61">
        <f>16.5501* CHOOSE(CONTROL!$C$22, $C$13, 100%, $E$13)</f>
        <v>16.5501</v>
      </c>
      <c r="I577" s="61">
        <f>16.5524 * CHOOSE(CONTROL!$C$22, $C$13, 100%, $E$13)</f>
        <v>16.552399999999999</v>
      </c>
      <c r="J577" s="61">
        <f>9.3211 * CHOOSE(CONTROL!$C$22, $C$13, 100%, $E$13)</f>
        <v>9.3210999999999995</v>
      </c>
      <c r="K577" s="61">
        <f>9.3234 * CHOOSE(CONTROL!$C$22, $C$13, 100%, $E$13)</f>
        <v>9.3233999999999995</v>
      </c>
    </row>
    <row r="578" spans="1:11" ht="15">
      <c r="A578" s="13">
        <v>59445</v>
      </c>
      <c r="B578" s="60">
        <f>8.0722 * CHOOSE(CONTROL!$C$22, $C$13, 100%, $E$13)</f>
        <v>8.0722000000000005</v>
      </c>
      <c r="C578" s="60">
        <f>8.0722 * CHOOSE(CONTROL!$C$22, $C$13, 100%, $E$13)</f>
        <v>8.0722000000000005</v>
      </c>
      <c r="D578" s="60">
        <f>8.091 * CHOOSE(CONTROL!$C$22, $C$13, 100%, $E$13)</f>
        <v>8.0909999999999993</v>
      </c>
      <c r="E578" s="61">
        <f>9.369 * CHOOSE(CONTROL!$C$22, $C$13, 100%, $E$13)</f>
        <v>9.3689999999999998</v>
      </c>
      <c r="F578" s="61">
        <f>9.369 * CHOOSE(CONTROL!$C$22, $C$13, 100%, $E$13)</f>
        <v>9.3689999999999998</v>
      </c>
      <c r="G578" s="61">
        <f>9.3692 * CHOOSE(CONTROL!$C$22, $C$13, 100%, $E$13)</f>
        <v>9.3691999999999993</v>
      </c>
      <c r="H578" s="61">
        <f>16.5845* CHOOSE(CONTROL!$C$22, $C$13, 100%, $E$13)</f>
        <v>16.584499999999998</v>
      </c>
      <c r="I578" s="61">
        <f>16.5847 * CHOOSE(CONTROL!$C$22, $C$13, 100%, $E$13)</f>
        <v>16.584700000000002</v>
      </c>
      <c r="J578" s="61">
        <f>9.369 * CHOOSE(CONTROL!$C$22, $C$13, 100%, $E$13)</f>
        <v>9.3689999999999998</v>
      </c>
      <c r="K578" s="61">
        <f>9.3692 * CHOOSE(CONTROL!$C$22, $C$13, 100%, $E$13)</f>
        <v>9.3691999999999993</v>
      </c>
    </row>
    <row r="579" spans="1:11" ht="15">
      <c r="A579" s="13">
        <v>59476</v>
      </c>
      <c r="B579" s="60">
        <f>8.0752 * CHOOSE(CONTROL!$C$22, $C$13, 100%, $E$13)</f>
        <v>8.0752000000000006</v>
      </c>
      <c r="C579" s="60">
        <f>8.0752 * CHOOSE(CONTROL!$C$22, $C$13, 100%, $E$13)</f>
        <v>8.0752000000000006</v>
      </c>
      <c r="D579" s="60">
        <f>8.094 * CHOOSE(CONTROL!$C$22, $C$13, 100%, $E$13)</f>
        <v>8.0939999999999994</v>
      </c>
      <c r="E579" s="61">
        <f>9.4018 * CHOOSE(CONTROL!$C$22, $C$13, 100%, $E$13)</f>
        <v>9.4017999999999997</v>
      </c>
      <c r="F579" s="61">
        <f>9.4018 * CHOOSE(CONTROL!$C$22, $C$13, 100%, $E$13)</f>
        <v>9.4017999999999997</v>
      </c>
      <c r="G579" s="61">
        <f>9.402 * CHOOSE(CONTROL!$C$22, $C$13, 100%, $E$13)</f>
        <v>9.4019999999999992</v>
      </c>
      <c r="H579" s="61">
        <f>16.6191* CHOOSE(CONTROL!$C$22, $C$13, 100%, $E$13)</f>
        <v>16.6191</v>
      </c>
      <c r="I579" s="61">
        <f>16.6193 * CHOOSE(CONTROL!$C$22, $C$13, 100%, $E$13)</f>
        <v>16.619299999999999</v>
      </c>
      <c r="J579" s="61">
        <f>9.4018 * CHOOSE(CONTROL!$C$22, $C$13, 100%, $E$13)</f>
        <v>9.4017999999999997</v>
      </c>
      <c r="K579" s="61">
        <f>9.402 * CHOOSE(CONTROL!$C$22, $C$13, 100%, $E$13)</f>
        <v>9.4019999999999992</v>
      </c>
    </row>
    <row r="580" spans="1:11" ht="15">
      <c r="A580" s="13">
        <v>59506</v>
      </c>
      <c r="B580" s="60">
        <f>8.0752 * CHOOSE(CONTROL!$C$22, $C$13, 100%, $E$13)</f>
        <v>8.0752000000000006</v>
      </c>
      <c r="C580" s="60">
        <f>8.0752 * CHOOSE(CONTROL!$C$22, $C$13, 100%, $E$13)</f>
        <v>8.0752000000000006</v>
      </c>
      <c r="D580" s="60">
        <f>8.094 * CHOOSE(CONTROL!$C$22, $C$13, 100%, $E$13)</f>
        <v>8.0939999999999994</v>
      </c>
      <c r="E580" s="61">
        <f>9.3251 * CHOOSE(CONTROL!$C$22, $C$13, 100%, $E$13)</f>
        <v>9.3251000000000008</v>
      </c>
      <c r="F580" s="61">
        <f>9.3251 * CHOOSE(CONTROL!$C$22, $C$13, 100%, $E$13)</f>
        <v>9.3251000000000008</v>
      </c>
      <c r="G580" s="61">
        <f>9.3253 * CHOOSE(CONTROL!$C$22, $C$13, 100%, $E$13)</f>
        <v>9.3253000000000004</v>
      </c>
      <c r="H580" s="61">
        <f>16.6537* CHOOSE(CONTROL!$C$22, $C$13, 100%, $E$13)</f>
        <v>16.653700000000001</v>
      </c>
      <c r="I580" s="61">
        <f>16.6539 * CHOOSE(CONTROL!$C$22, $C$13, 100%, $E$13)</f>
        <v>16.6539</v>
      </c>
      <c r="J580" s="61">
        <f>9.3251 * CHOOSE(CONTROL!$C$22, $C$13, 100%, $E$13)</f>
        <v>9.3251000000000008</v>
      </c>
      <c r="K580" s="61">
        <f>9.3253 * CHOOSE(CONTROL!$C$22, $C$13, 100%, $E$13)</f>
        <v>9.3253000000000004</v>
      </c>
    </row>
    <row r="581" spans="1:11" ht="15">
      <c r="A581" s="13">
        <v>59537</v>
      </c>
      <c r="B581" s="60">
        <f>8.1424 * CHOOSE(CONTROL!$C$22, $C$13, 100%, $E$13)</f>
        <v>8.1424000000000003</v>
      </c>
      <c r="C581" s="60">
        <f>8.1424 * CHOOSE(CONTROL!$C$22, $C$13, 100%, $E$13)</f>
        <v>8.1424000000000003</v>
      </c>
      <c r="D581" s="60">
        <f>8.1613 * CHOOSE(CONTROL!$C$22, $C$13, 100%, $E$13)</f>
        <v>8.1613000000000007</v>
      </c>
      <c r="E581" s="61">
        <f>9.4698 * CHOOSE(CONTROL!$C$22, $C$13, 100%, $E$13)</f>
        <v>9.4697999999999993</v>
      </c>
      <c r="F581" s="61">
        <f>9.4698 * CHOOSE(CONTROL!$C$22, $C$13, 100%, $E$13)</f>
        <v>9.4697999999999993</v>
      </c>
      <c r="G581" s="61">
        <f>9.4699 * CHOOSE(CONTROL!$C$22, $C$13, 100%, $E$13)</f>
        <v>9.4699000000000009</v>
      </c>
      <c r="H581" s="61">
        <f>16.6783* CHOOSE(CONTROL!$C$22, $C$13, 100%, $E$13)</f>
        <v>16.6783</v>
      </c>
      <c r="I581" s="61">
        <f>16.6784 * CHOOSE(CONTROL!$C$22, $C$13, 100%, $E$13)</f>
        <v>16.6784</v>
      </c>
      <c r="J581" s="61">
        <f>9.4627 * CHOOSE(CONTROL!$C$22, $C$13, 100%, $E$13)</f>
        <v>9.4626999999999999</v>
      </c>
      <c r="K581" s="61">
        <f>9.4699 * CHOOSE(CONTROL!$C$22, $C$13, 100%, $E$13)</f>
        <v>9.4699000000000009</v>
      </c>
    </row>
    <row r="582" spans="1:11" ht="15">
      <c r="A582" s="13">
        <v>59568</v>
      </c>
      <c r="B582" s="60">
        <f>8.1394 * CHOOSE(CONTROL!$C$22, $C$13, 100%, $E$13)</f>
        <v>8.1394000000000002</v>
      </c>
      <c r="C582" s="60">
        <f>8.1394 * CHOOSE(CONTROL!$C$22, $C$13, 100%, $E$13)</f>
        <v>8.1394000000000002</v>
      </c>
      <c r="D582" s="60">
        <f>8.1582 * CHOOSE(CONTROL!$C$22, $C$13, 100%, $E$13)</f>
        <v>8.1582000000000008</v>
      </c>
      <c r="E582" s="61">
        <f>9.3181 * CHOOSE(CONTROL!$C$22, $C$13, 100%, $E$13)</f>
        <v>9.3180999999999994</v>
      </c>
      <c r="F582" s="61">
        <f>9.3181 * CHOOSE(CONTROL!$C$22, $C$13, 100%, $E$13)</f>
        <v>9.3180999999999994</v>
      </c>
      <c r="G582" s="61">
        <f>9.3183 * CHOOSE(CONTROL!$C$22, $C$13, 100%, $E$13)</f>
        <v>9.3183000000000007</v>
      </c>
      <c r="H582" s="61">
        <f>16.713* CHOOSE(CONTROL!$C$22, $C$13, 100%, $E$13)</f>
        <v>16.713000000000001</v>
      </c>
      <c r="I582" s="61">
        <f>16.7132 * CHOOSE(CONTROL!$C$22, $C$13, 100%, $E$13)</f>
        <v>16.713200000000001</v>
      </c>
      <c r="J582" s="61">
        <f>9.3112 * CHOOSE(CONTROL!$C$22, $C$13, 100%, $E$13)</f>
        <v>9.3111999999999995</v>
      </c>
      <c r="K582" s="61">
        <f>9.3183 * CHOOSE(CONTROL!$C$22, $C$13, 100%, $E$13)</f>
        <v>9.3183000000000007</v>
      </c>
    </row>
    <row r="583" spans="1:11" ht="15">
      <c r="A583" s="13">
        <v>59596</v>
      </c>
      <c r="B583" s="60">
        <f>8.1364 * CHOOSE(CONTROL!$C$22, $C$13, 100%, $E$13)</f>
        <v>8.1364000000000001</v>
      </c>
      <c r="C583" s="60">
        <f>8.1364 * CHOOSE(CONTROL!$C$22, $C$13, 100%, $E$13)</f>
        <v>8.1364000000000001</v>
      </c>
      <c r="D583" s="60">
        <f>8.1552 * CHOOSE(CONTROL!$C$22, $C$13, 100%, $E$13)</f>
        <v>8.1552000000000007</v>
      </c>
      <c r="E583" s="61">
        <f>9.4339 * CHOOSE(CONTROL!$C$22, $C$13, 100%, $E$13)</f>
        <v>9.4338999999999995</v>
      </c>
      <c r="F583" s="61">
        <f>9.4339 * CHOOSE(CONTROL!$C$22, $C$13, 100%, $E$13)</f>
        <v>9.4338999999999995</v>
      </c>
      <c r="G583" s="61">
        <f>9.4341 * CHOOSE(CONTROL!$C$22, $C$13, 100%, $E$13)</f>
        <v>9.4341000000000008</v>
      </c>
      <c r="H583" s="61">
        <f>16.7478* CHOOSE(CONTROL!$C$22, $C$13, 100%, $E$13)</f>
        <v>16.747800000000002</v>
      </c>
      <c r="I583" s="61">
        <f>16.748 * CHOOSE(CONTROL!$C$22, $C$13, 100%, $E$13)</f>
        <v>16.748000000000001</v>
      </c>
      <c r="J583" s="61">
        <f>9.4268 * CHOOSE(CONTROL!$C$22, $C$13, 100%, $E$13)</f>
        <v>9.4268000000000001</v>
      </c>
      <c r="K583" s="61">
        <f>9.4341 * CHOOSE(CONTROL!$C$22, $C$13, 100%, $E$13)</f>
        <v>9.4341000000000008</v>
      </c>
    </row>
    <row r="584" spans="1:11" ht="15">
      <c r="A584" s="13">
        <v>59627</v>
      </c>
      <c r="B584" s="60">
        <f>8.1381 * CHOOSE(CONTROL!$C$22, $C$13, 100%, $E$13)</f>
        <v>8.1380999999999997</v>
      </c>
      <c r="C584" s="60">
        <f>8.1381 * CHOOSE(CONTROL!$C$22, $C$13, 100%, $E$13)</f>
        <v>8.1380999999999997</v>
      </c>
      <c r="D584" s="60">
        <f>8.1569 * CHOOSE(CONTROL!$C$22, $C$13, 100%, $E$13)</f>
        <v>8.1569000000000003</v>
      </c>
      <c r="E584" s="61">
        <f>9.5562 * CHOOSE(CONTROL!$C$22, $C$13, 100%, $E$13)</f>
        <v>9.5562000000000005</v>
      </c>
      <c r="F584" s="61">
        <f>9.5562 * CHOOSE(CONTROL!$C$22, $C$13, 100%, $E$13)</f>
        <v>9.5562000000000005</v>
      </c>
      <c r="G584" s="61">
        <f>9.5564 * CHOOSE(CONTROL!$C$22, $C$13, 100%, $E$13)</f>
        <v>9.5564</v>
      </c>
      <c r="H584" s="61">
        <f>16.7827* CHOOSE(CONTROL!$C$22, $C$13, 100%, $E$13)</f>
        <v>16.782699999999998</v>
      </c>
      <c r="I584" s="61">
        <f>16.7829 * CHOOSE(CONTROL!$C$22, $C$13, 100%, $E$13)</f>
        <v>16.782900000000001</v>
      </c>
      <c r="J584" s="61">
        <f>9.549 * CHOOSE(CONTROL!$C$22, $C$13, 100%, $E$13)</f>
        <v>9.5489999999999995</v>
      </c>
      <c r="K584" s="61">
        <f>9.5564 * CHOOSE(CONTROL!$C$22, $C$13, 100%, $E$13)</f>
        <v>9.5564</v>
      </c>
    </row>
    <row r="585" spans="1:11" ht="15">
      <c r="A585" s="13">
        <v>59657</v>
      </c>
      <c r="B585" s="60">
        <f>8.1381 * CHOOSE(CONTROL!$C$22, $C$13, 100%, $E$13)</f>
        <v>8.1380999999999997</v>
      </c>
      <c r="C585" s="60">
        <f>8.1381 * CHOOSE(CONTROL!$C$22, $C$13, 100%, $E$13)</f>
        <v>8.1380999999999997</v>
      </c>
      <c r="D585" s="60">
        <f>8.1757 * CHOOSE(CONTROL!$C$22, $C$13, 100%, $E$13)</f>
        <v>8.1757000000000009</v>
      </c>
      <c r="E585" s="61">
        <f>9.6037 * CHOOSE(CONTROL!$C$22, $C$13, 100%, $E$13)</f>
        <v>9.6036999999999999</v>
      </c>
      <c r="F585" s="61">
        <f>9.6037 * CHOOSE(CONTROL!$C$22, $C$13, 100%, $E$13)</f>
        <v>9.6036999999999999</v>
      </c>
      <c r="G585" s="61">
        <f>9.606 * CHOOSE(CONTROL!$C$22, $C$13, 100%, $E$13)</f>
        <v>9.6059999999999999</v>
      </c>
      <c r="H585" s="61">
        <f>16.8177* CHOOSE(CONTROL!$C$22, $C$13, 100%, $E$13)</f>
        <v>16.817699999999999</v>
      </c>
      <c r="I585" s="61">
        <f>16.82 * CHOOSE(CONTROL!$C$22, $C$13, 100%, $E$13)</f>
        <v>16.82</v>
      </c>
      <c r="J585" s="61">
        <f>9.5964 * CHOOSE(CONTROL!$C$22, $C$13, 100%, $E$13)</f>
        <v>9.5963999999999992</v>
      </c>
      <c r="K585" s="61">
        <f>9.606 * CHOOSE(CONTROL!$C$22, $C$13, 100%, $E$13)</f>
        <v>9.6059999999999999</v>
      </c>
    </row>
    <row r="586" spans="1:11" ht="15">
      <c r="A586" s="13">
        <v>59688</v>
      </c>
      <c r="B586" s="60">
        <f>8.1442 * CHOOSE(CONTROL!$C$22, $C$13, 100%, $E$13)</f>
        <v>8.1441999999999997</v>
      </c>
      <c r="C586" s="60">
        <f>8.1442 * CHOOSE(CONTROL!$C$22, $C$13, 100%, $E$13)</f>
        <v>8.1441999999999997</v>
      </c>
      <c r="D586" s="60">
        <f>8.1818 * CHOOSE(CONTROL!$C$22, $C$13, 100%, $E$13)</f>
        <v>8.1818000000000008</v>
      </c>
      <c r="E586" s="61">
        <f>9.5604 * CHOOSE(CONTROL!$C$22, $C$13, 100%, $E$13)</f>
        <v>9.5603999999999996</v>
      </c>
      <c r="F586" s="61">
        <f>9.5604 * CHOOSE(CONTROL!$C$22, $C$13, 100%, $E$13)</f>
        <v>9.5603999999999996</v>
      </c>
      <c r="G586" s="61">
        <f>9.5628 * CHOOSE(CONTROL!$C$22, $C$13, 100%, $E$13)</f>
        <v>9.5627999999999993</v>
      </c>
      <c r="H586" s="61">
        <f>16.8527* CHOOSE(CONTROL!$C$22, $C$13, 100%, $E$13)</f>
        <v>16.852699999999999</v>
      </c>
      <c r="I586" s="61">
        <f>16.855 * CHOOSE(CONTROL!$C$22, $C$13, 100%, $E$13)</f>
        <v>16.855</v>
      </c>
      <c r="J586" s="61">
        <f>9.5533 * CHOOSE(CONTROL!$C$22, $C$13, 100%, $E$13)</f>
        <v>9.5533000000000001</v>
      </c>
      <c r="K586" s="61">
        <f>9.5628 * CHOOSE(CONTROL!$C$22, $C$13, 100%, $E$13)</f>
        <v>9.5627999999999993</v>
      </c>
    </row>
    <row r="587" spans="1:11" ht="15">
      <c r="A587" s="13">
        <v>59718</v>
      </c>
      <c r="B587" s="60">
        <f>8.2624 * CHOOSE(CONTROL!$C$22, $C$13, 100%, $E$13)</f>
        <v>8.2623999999999995</v>
      </c>
      <c r="C587" s="60">
        <f>8.2624 * CHOOSE(CONTROL!$C$22, $C$13, 100%, $E$13)</f>
        <v>8.2623999999999995</v>
      </c>
      <c r="D587" s="60">
        <f>8.3 * CHOOSE(CONTROL!$C$22, $C$13, 100%, $E$13)</f>
        <v>8.3000000000000007</v>
      </c>
      <c r="E587" s="61">
        <f>9.7383 * CHOOSE(CONTROL!$C$22, $C$13, 100%, $E$13)</f>
        <v>9.7383000000000006</v>
      </c>
      <c r="F587" s="61">
        <f>9.7383 * CHOOSE(CONTROL!$C$22, $C$13, 100%, $E$13)</f>
        <v>9.7383000000000006</v>
      </c>
      <c r="G587" s="61">
        <f>9.7406 * CHOOSE(CONTROL!$C$22, $C$13, 100%, $E$13)</f>
        <v>9.7406000000000006</v>
      </c>
      <c r="H587" s="61">
        <f>16.8878* CHOOSE(CONTROL!$C$22, $C$13, 100%, $E$13)</f>
        <v>16.887799999999999</v>
      </c>
      <c r="I587" s="61">
        <f>16.8901 * CHOOSE(CONTROL!$C$22, $C$13, 100%, $E$13)</f>
        <v>16.8901</v>
      </c>
      <c r="J587" s="61">
        <f>9.731 * CHOOSE(CONTROL!$C$22, $C$13, 100%, $E$13)</f>
        <v>9.7309999999999999</v>
      </c>
      <c r="K587" s="61">
        <f>9.7406 * CHOOSE(CONTROL!$C$22, $C$13, 100%, $E$13)</f>
        <v>9.7406000000000006</v>
      </c>
    </row>
    <row r="588" spans="1:11" ht="15">
      <c r="A588" s="13">
        <v>59749</v>
      </c>
      <c r="B588" s="60">
        <f>8.2691 * CHOOSE(CONTROL!$C$22, $C$13, 100%, $E$13)</f>
        <v>8.2690999999999999</v>
      </c>
      <c r="C588" s="60">
        <f>8.2691 * CHOOSE(CONTROL!$C$22, $C$13, 100%, $E$13)</f>
        <v>8.2690999999999999</v>
      </c>
      <c r="D588" s="60">
        <f>8.3067 * CHOOSE(CONTROL!$C$22, $C$13, 100%, $E$13)</f>
        <v>8.3066999999999993</v>
      </c>
      <c r="E588" s="61">
        <f>9.6006 * CHOOSE(CONTROL!$C$22, $C$13, 100%, $E$13)</f>
        <v>9.6006</v>
      </c>
      <c r="F588" s="61">
        <f>9.6006 * CHOOSE(CONTROL!$C$22, $C$13, 100%, $E$13)</f>
        <v>9.6006</v>
      </c>
      <c r="G588" s="61">
        <f>9.6029 * CHOOSE(CONTROL!$C$22, $C$13, 100%, $E$13)</f>
        <v>9.6029</v>
      </c>
      <c r="H588" s="61">
        <f>16.923* CHOOSE(CONTROL!$C$22, $C$13, 100%, $E$13)</f>
        <v>16.922999999999998</v>
      </c>
      <c r="I588" s="61">
        <f>16.9253 * CHOOSE(CONTROL!$C$22, $C$13, 100%, $E$13)</f>
        <v>16.9253</v>
      </c>
      <c r="J588" s="61">
        <f>9.5934 * CHOOSE(CONTROL!$C$22, $C$13, 100%, $E$13)</f>
        <v>9.5934000000000008</v>
      </c>
      <c r="K588" s="61">
        <f>9.6029 * CHOOSE(CONTROL!$C$22, $C$13, 100%, $E$13)</f>
        <v>9.6029</v>
      </c>
    </row>
    <row r="589" spans="1:11" ht="15">
      <c r="A589" s="13">
        <v>59780</v>
      </c>
      <c r="B589" s="60">
        <f>8.266 * CHOOSE(CONTROL!$C$22, $C$13, 100%, $E$13)</f>
        <v>8.266</v>
      </c>
      <c r="C589" s="60">
        <f>8.266 * CHOOSE(CONTROL!$C$22, $C$13, 100%, $E$13)</f>
        <v>8.266</v>
      </c>
      <c r="D589" s="60">
        <f>8.3037 * CHOOSE(CONTROL!$C$22, $C$13, 100%, $E$13)</f>
        <v>8.3036999999999992</v>
      </c>
      <c r="E589" s="61">
        <f>9.5826 * CHOOSE(CONTROL!$C$22, $C$13, 100%, $E$13)</f>
        <v>9.5825999999999993</v>
      </c>
      <c r="F589" s="61">
        <f>9.5826 * CHOOSE(CONTROL!$C$22, $C$13, 100%, $E$13)</f>
        <v>9.5825999999999993</v>
      </c>
      <c r="G589" s="61">
        <f>9.5849 * CHOOSE(CONTROL!$C$22, $C$13, 100%, $E$13)</f>
        <v>9.5848999999999993</v>
      </c>
      <c r="H589" s="61">
        <f>16.9583* CHOOSE(CONTROL!$C$22, $C$13, 100%, $E$13)</f>
        <v>16.958300000000001</v>
      </c>
      <c r="I589" s="61">
        <f>16.9606 * CHOOSE(CONTROL!$C$22, $C$13, 100%, $E$13)</f>
        <v>16.960599999999999</v>
      </c>
      <c r="J589" s="61">
        <f>9.5755 * CHOOSE(CONTROL!$C$22, $C$13, 100%, $E$13)</f>
        <v>9.5754999999999999</v>
      </c>
      <c r="K589" s="61">
        <f>9.5849 * CHOOSE(CONTROL!$C$22, $C$13, 100%, $E$13)</f>
        <v>9.5848999999999993</v>
      </c>
    </row>
    <row r="590" spans="1:11" ht="15">
      <c r="A590" s="13">
        <v>59810</v>
      </c>
      <c r="B590" s="60">
        <f>8.2773 * CHOOSE(CONTROL!$C$22, $C$13, 100%, $E$13)</f>
        <v>8.2773000000000003</v>
      </c>
      <c r="C590" s="60">
        <f>8.2773 * CHOOSE(CONTROL!$C$22, $C$13, 100%, $E$13)</f>
        <v>8.2773000000000003</v>
      </c>
      <c r="D590" s="60">
        <f>8.2961 * CHOOSE(CONTROL!$C$22, $C$13, 100%, $E$13)</f>
        <v>8.2960999999999991</v>
      </c>
      <c r="E590" s="61">
        <f>9.6325 * CHOOSE(CONTROL!$C$22, $C$13, 100%, $E$13)</f>
        <v>9.6325000000000003</v>
      </c>
      <c r="F590" s="61">
        <f>9.6325 * CHOOSE(CONTROL!$C$22, $C$13, 100%, $E$13)</f>
        <v>9.6325000000000003</v>
      </c>
      <c r="G590" s="61">
        <f>9.6327 * CHOOSE(CONTROL!$C$22, $C$13, 100%, $E$13)</f>
        <v>9.6326999999999998</v>
      </c>
      <c r="H590" s="61">
        <f>16.9936* CHOOSE(CONTROL!$C$22, $C$13, 100%, $E$13)</f>
        <v>16.993600000000001</v>
      </c>
      <c r="I590" s="61">
        <f>16.9938 * CHOOSE(CONTROL!$C$22, $C$13, 100%, $E$13)</f>
        <v>16.9938</v>
      </c>
      <c r="J590" s="61">
        <f>9.6253 * CHOOSE(CONTROL!$C$22, $C$13, 100%, $E$13)</f>
        <v>9.6252999999999993</v>
      </c>
      <c r="K590" s="61">
        <f>9.6327 * CHOOSE(CONTROL!$C$22, $C$13, 100%, $E$13)</f>
        <v>9.6326999999999998</v>
      </c>
    </row>
    <row r="591" spans="1:11" ht="15">
      <c r="A591" s="13">
        <v>59841</v>
      </c>
      <c r="B591" s="60">
        <f>8.2804 * CHOOSE(CONTROL!$C$22, $C$13, 100%, $E$13)</f>
        <v>8.2804000000000002</v>
      </c>
      <c r="C591" s="60">
        <f>8.2804 * CHOOSE(CONTROL!$C$22, $C$13, 100%, $E$13)</f>
        <v>8.2804000000000002</v>
      </c>
      <c r="D591" s="60">
        <f>8.2992 * CHOOSE(CONTROL!$C$22, $C$13, 100%, $E$13)</f>
        <v>8.2992000000000008</v>
      </c>
      <c r="E591" s="61">
        <f>9.6662 * CHOOSE(CONTROL!$C$22, $C$13, 100%, $E$13)</f>
        <v>9.6661999999999999</v>
      </c>
      <c r="F591" s="61">
        <f>9.6662 * CHOOSE(CONTROL!$C$22, $C$13, 100%, $E$13)</f>
        <v>9.6661999999999999</v>
      </c>
      <c r="G591" s="61">
        <f>9.6664 * CHOOSE(CONTROL!$C$22, $C$13, 100%, $E$13)</f>
        <v>9.6663999999999994</v>
      </c>
      <c r="H591" s="61">
        <f>17.029* CHOOSE(CONTROL!$C$22, $C$13, 100%, $E$13)</f>
        <v>17.029</v>
      </c>
      <c r="I591" s="61">
        <f>17.0292 * CHOOSE(CONTROL!$C$22, $C$13, 100%, $E$13)</f>
        <v>17.029199999999999</v>
      </c>
      <c r="J591" s="61">
        <f>9.659 * CHOOSE(CONTROL!$C$22, $C$13, 100%, $E$13)</f>
        <v>9.6590000000000007</v>
      </c>
      <c r="K591" s="61">
        <f>9.6664 * CHOOSE(CONTROL!$C$22, $C$13, 100%, $E$13)</f>
        <v>9.6663999999999994</v>
      </c>
    </row>
    <row r="592" spans="1:11" ht="15">
      <c r="A592" s="13">
        <v>59871</v>
      </c>
      <c r="B592" s="60">
        <f>8.2804 * CHOOSE(CONTROL!$C$22, $C$13, 100%, $E$13)</f>
        <v>8.2804000000000002</v>
      </c>
      <c r="C592" s="60">
        <f>8.2804 * CHOOSE(CONTROL!$C$22, $C$13, 100%, $E$13)</f>
        <v>8.2804000000000002</v>
      </c>
      <c r="D592" s="60">
        <f>8.2992 * CHOOSE(CONTROL!$C$22, $C$13, 100%, $E$13)</f>
        <v>8.2992000000000008</v>
      </c>
      <c r="E592" s="61">
        <f>9.5871 * CHOOSE(CONTROL!$C$22, $C$13, 100%, $E$13)</f>
        <v>9.5870999999999995</v>
      </c>
      <c r="F592" s="61">
        <f>9.5871 * CHOOSE(CONTROL!$C$22, $C$13, 100%, $E$13)</f>
        <v>9.5870999999999995</v>
      </c>
      <c r="G592" s="61">
        <f>9.5873 * CHOOSE(CONTROL!$C$22, $C$13, 100%, $E$13)</f>
        <v>9.5873000000000008</v>
      </c>
      <c r="H592" s="61">
        <f>17.0645* CHOOSE(CONTROL!$C$22, $C$13, 100%, $E$13)</f>
        <v>17.064499999999999</v>
      </c>
      <c r="I592" s="61">
        <f>17.0646 * CHOOSE(CONTROL!$C$22, $C$13, 100%, $E$13)</f>
        <v>17.064599999999999</v>
      </c>
      <c r="J592" s="61">
        <f>9.58 * CHOOSE(CONTROL!$C$22, $C$13, 100%, $E$13)</f>
        <v>9.58</v>
      </c>
      <c r="K592" s="61">
        <f>9.5873 * CHOOSE(CONTROL!$C$22, $C$13, 100%, $E$13)</f>
        <v>9.5873000000000008</v>
      </c>
    </row>
    <row r="593" spans="1:11" ht="15">
      <c r="A593" s="13">
        <v>59902</v>
      </c>
      <c r="B593" s="60">
        <f>8.3492 * CHOOSE(CONTROL!$C$22, $C$13, 100%, $E$13)</f>
        <v>8.3491999999999997</v>
      </c>
      <c r="C593" s="60">
        <f>8.3492 * CHOOSE(CONTROL!$C$22, $C$13, 100%, $E$13)</f>
        <v>8.3491999999999997</v>
      </c>
      <c r="D593" s="60">
        <f>8.368 * CHOOSE(CONTROL!$C$22, $C$13, 100%, $E$13)</f>
        <v>8.3680000000000003</v>
      </c>
      <c r="E593" s="61">
        <f>9.736 * CHOOSE(CONTROL!$C$22, $C$13, 100%, $E$13)</f>
        <v>9.7360000000000007</v>
      </c>
      <c r="F593" s="61">
        <f>9.736 * CHOOSE(CONTROL!$C$22, $C$13, 100%, $E$13)</f>
        <v>9.7360000000000007</v>
      </c>
      <c r="G593" s="61">
        <f>9.7362 * CHOOSE(CONTROL!$C$22, $C$13, 100%, $E$13)</f>
        <v>9.7362000000000002</v>
      </c>
      <c r="H593" s="61">
        <f>17.0797* CHOOSE(CONTROL!$C$22, $C$13, 100%, $E$13)</f>
        <v>17.079699999999999</v>
      </c>
      <c r="I593" s="61">
        <f>17.0799 * CHOOSE(CONTROL!$C$22, $C$13, 100%, $E$13)</f>
        <v>17.079899999999999</v>
      </c>
      <c r="J593" s="61">
        <f>9.7145 * CHOOSE(CONTROL!$C$22, $C$13, 100%, $E$13)</f>
        <v>9.7144999999999992</v>
      </c>
      <c r="K593" s="61">
        <f>9.7362 * CHOOSE(CONTROL!$C$22, $C$13, 100%, $E$13)</f>
        <v>9.7362000000000002</v>
      </c>
    </row>
    <row r="594" spans="1:11" ht="15">
      <c r="A594" s="13">
        <v>59933</v>
      </c>
      <c r="B594" s="60">
        <f>8.3462 * CHOOSE(CONTROL!$C$22, $C$13, 100%, $E$13)</f>
        <v>8.3461999999999996</v>
      </c>
      <c r="C594" s="60">
        <f>8.3462 * CHOOSE(CONTROL!$C$22, $C$13, 100%, $E$13)</f>
        <v>8.3461999999999996</v>
      </c>
      <c r="D594" s="60">
        <f>8.365 * CHOOSE(CONTROL!$C$22, $C$13, 100%, $E$13)</f>
        <v>8.3650000000000002</v>
      </c>
      <c r="E594" s="61">
        <f>9.5796 * CHOOSE(CONTROL!$C$22, $C$13, 100%, $E$13)</f>
        <v>9.5795999999999992</v>
      </c>
      <c r="F594" s="61">
        <f>9.5796 * CHOOSE(CONTROL!$C$22, $C$13, 100%, $E$13)</f>
        <v>9.5795999999999992</v>
      </c>
      <c r="G594" s="61">
        <f>9.5798 * CHOOSE(CONTROL!$C$22, $C$13, 100%, $E$13)</f>
        <v>9.5798000000000005</v>
      </c>
      <c r="H594" s="61">
        <f>17.1153* CHOOSE(CONTROL!$C$22, $C$13, 100%, $E$13)</f>
        <v>17.115300000000001</v>
      </c>
      <c r="I594" s="61">
        <f>17.1155 * CHOOSE(CONTROL!$C$22, $C$13, 100%, $E$13)</f>
        <v>17.115500000000001</v>
      </c>
      <c r="J594" s="61">
        <f>9.5585 * CHOOSE(CONTROL!$C$22, $C$13, 100%, $E$13)</f>
        <v>9.5585000000000004</v>
      </c>
      <c r="K594" s="61">
        <f>9.5798 * CHOOSE(CONTROL!$C$22, $C$13, 100%, $E$13)</f>
        <v>9.5798000000000005</v>
      </c>
    </row>
    <row r="595" spans="1:11" ht="15">
      <c r="A595" s="13">
        <v>59962</v>
      </c>
      <c r="B595" s="60">
        <f>8.3431 * CHOOSE(CONTROL!$C$22, $C$13, 100%, $E$13)</f>
        <v>8.3430999999999997</v>
      </c>
      <c r="C595" s="60">
        <f>8.3431 * CHOOSE(CONTROL!$C$22, $C$13, 100%, $E$13)</f>
        <v>8.3430999999999997</v>
      </c>
      <c r="D595" s="60">
        <f>8.3619 * CHOOSE(CONTROL!$C$22, $C$13, 100%, $E$13)</f>
        <v>8.3619000000000003</v>
      </c>
      <c r="E595" s="61">
        <f>9.6991 * CHOOSE(CONTROL!$C$22, $C$13, 100%, $E$13)</f>
        <v>9.6990999999999996</v>
      </c>
      <c r="F595" s="61">
        <f>9.6991 * CHOOSE(CONTROL!$C$22, $C$13, 100%, $E$13)</f>
        <v>9.6990999999999996</v>
      </c>
      <c r="G595" s="61">
        <f>9.6993 * CHOOSE(CONTROL!$C$22, $C$13, 100%, $E$13)</f>
        <v>9.6992999999999991</v>
      </c>
      <c r="H595" s="61">
        <f>17.151* CHOOSE(CONTROL!$C$22, $C$13, 100%, $E$13)</f>
        <v>17.151</v>
      </c>
      <c r="I595" s="61">
        <f>17.1511 * CHOOSE(CONTROL!$C$22, $C$13, 100%, $E$13)</f>
        <v>17.1511</v>
      </c>
      <c r="J595" s="61">
        <f>9.6777 * CHOOSE(CONTROL!$C$22, $C$13, 100%, $E$13)</f>
        <v>9.6776999999999997</v>
      </c>
      <c r="K595" s="61">
        <f>9.6993 * CHOOSE(CONTROL!$C$22, $C$13, 100%, $E$13)</f>
        <v>9.6992999999999991</v>
      </c>
    </row>
    <row r="596" spans="1:11" ht="15">
      <c r="A596" s="13">
        <v>59993</v>
      </c>
      <c r="B596" s="60">
        <f>8.3451 * CHOOSE(CONTROL!$C$22, $C$13, 100%, $E$13)</f>
        <v>8.3451000000000004</v>
      </c>
      <c r="C596" s="60">
        <f>8.3451 * CHOOSE(CONTROL!$C$22, $C$13, 100%, $E$13)</f>
        <v>8.3451000000000004</v>
      </c>
      <c r="D596" s="60">
        <f>8.3639 * CHOOSE(CONTROL!$C$22, $C$13, 100%, $E$13)</f>
        <v>8.3638999999999992</v>
      </c>
      <c r="E596" s="61">
        <f>9.8255 * CHOOSE(CONTROL!$C$22, $C$13, 100%, $E$13)</f>
        <v>9.8254999999999999</v>
      </c>
      <c r="F596" s="61">
        <f>9.8255 * CHOOSE(CONTROL!$C$22, $C$13, 100%, $E$13)</f>
        <v>9.8254999999999999</v>
      </c>
      <c r="G596" s="61">
        <f>9.8257 * CHOOSE(CONTROL!$C$22, $C$13, 100%, $E$13)</f>
        <v>9.8256999999999994</v>
      </c>
      <c r="H596" s="61">
        <f>17.1867* CHOOSE(CONTROL!$C$22, $C$13, 100%, $E$13)</f>
        <v>17.186699999999998</v>
      </c>
      <c r="I596" s="61">
        <f>17.1869 * CHOOSE(CONTROL!$C$22, $C$13, 100%, $E$13)</f>
        <v>17.186900000000001</v>
      </c>
      <c r="J596" s="61">
        <f>9.8037 * CHOOSE(CONTROL!$C$22, $C$13, 100%, $E$13)</f>
        <v>9.8036999999999992</v>
      </c>
      <c r="K596" s="61">
        <f>9.8257 * CHOOSE(CONTROL!$C$22, $C$13, 100%, $E$13)</f>
        <v>9.8256999999999994</v>
      </c>
    </row>
    <row r="597" spans="1:11" ht="15">
      <c r="A597" s="13">
        <v>60023</v>
      </c>
      <c r="B597" s="60">
        <f>8.3451 * CHOOSE(CONTROL!$C$22, $C$13, 100%, $E$13)</f>
        <v>8.3451000000000004</v>
      </c>
      <c r="C597" s="60">
        <f>8.3451 * CHOOSE(CONTROL!$C$22, $C$13, 100%, $E$13)</f>
        <v>8.3451000000000004</v>
      </c>
      <c r="D597" s="60">
        <f>8.3827 * CHOOSE(CONTROL!$C$22, $C$13, 100%, $E$13)</f>
        <v>8.3826999999999998</v>
      </c>
      <c r="E597" s="61">
        <f>9.8745 * CHOOSE(CONTROL!$C$22, $C$13, 100%, $E$13)</f>
        <v>9.8744999999999994</v>
      </c>
      <c r="F597" s="61">
        <f>9.8745 * CHOOSE(CONTROL!$C$22, $C$13, 100%, $E$13)</f>
        <v>9.8744999999999994</v>
      </c>
      <c r="G597" s="61">
        <f>9.8768 * CHOOSE(CONTROL!$C$22, $C$13, 100%, $E$13)</f>
        <v>9.8767999999999994</v>
      </c>
      <c r="H597" s="61">
        <f>17.2225* CHOOSE(CONTROL!$C$22, $C$13, 100%, $E$13)</f>
        <v>17.2225</v>
      </c>
      <c r="I597" s="61">
        <f>17.2248 * CHOOSE(CONTROL!$C$22, $C$13, 100%, $E$13)</f>
        <v>17.224799999999998</v>
      </c>
      <c r="J597" s="61">
        <f>9.8525 * CHOOSE(CONTROL!$C$22, $C$13, 100%, $E$13)</f>
        <v>9.8524999999999991</v>
      </c>
      <c r="K597" s="61">
        <f>9.8768 * CHOOSE(CONTROL!$C$22, $C$13, 100%, $E$13)</f>
        <v>9.8767999999999994</v>
      </c>
    </row>
    <row r="598" spans="1:11" ht="15">
      <c r="A598" s="13">
        <v>60054</v>
      </c>
      <c r="B598" s="60">
        <f>8.3511 * CHOOSE(CONTROL!$C$22, $C$13, 100%, $E$13)</f>
        <v>8.3511000000000006</v>
      </c>
      <c r="C598" s="60">
        <f>8.3511 * CHOOSE(CONTROL!$C$22, $C$13, 100%, $E$13)</f>
        <v>8.3511000000000006</v>
      </c>
      <c r="D598" s="60">
        <f>8.3888 * CHOOSE(CONTROL!$C$22, $C$13, 100%, $E$13)</f>
        <v>8.3887999999999998</v>
      </c>
      <c r="E598" s="61">
        <f>9.8297 * CHOOSE(CONTROL!$C$22, $C$13, 100%, $E$13)</f>
        <v>9.8297000000000008</v>
      </c>
      <c r="F598" s="61">
        <f>9.8297 * CHOOSE(CONTROL!$C$22, $C$13, 100%, $E$13)</f>
        <v>9.8297000000000008</v>
      </c>
      <c r="G598" s="61">
        <f>9.832 * CHOOSE(CONTROL!$C$22, $C$13, 100%, $E$13)</f>
        <v>9.8320000000000007</v>
      </c>
      <c r="H598" s="61">
        <f>17.2584* CHOOSE(CONTROL!$C$22, $C$13, 100%, $E$13)</f>
        <v>17.258400000000002</v>
      </c>
      <c r="I598" s="61">
        <f>17.2607 * CHOOSE(CONTROL!$C$22, $C$13, 100%, $E$13)</f>
        <v>17.2607</v>
      </c>
      <c r="J598" s="61">
        <f>9.8079 * CHOOSE(CONTROL!$C$22, $C$13, 100%, $E$13)</f>
        <v>9.8079000000000001</v>
      </c>
      <c r="K598" s="61">
        <f>9.832 * CHOOSE(CONTROL!$C$22, $C$13, 100%, $E$13)</f>
        <v>9.8320000000000007</v>
      </c>
    </row>
    <row r="599" spans="1:11" ht="15">
      <c r="A599" s="13">
        <v>60084</v>
      </c>
      <c r="B599" s="60">
        <f>8.472 * CHOOSE(CONTROL!$C$22, $C$13, 100%, $E$13)</f>
        <v>8.4719999999999995</v>
      </c>
      <c r="C599" s="60">
        <f>8.472 * CHOOSE(CONTROL!$C$22, $C$13, 100%, $E$13)</f>
        <v>8.4719999999999995</v>
      </c>
      <c r="D599" s="60">
        <f>8.5096 * CHOOSE(CONTROL!$C$22, $C$13, 100%, $E$13)</f>
        <v>8.5096000000000007</v>
      </c>
      <c r="E599" s="61">
        <f>10.0122 * CHOOSE(CONTROL!$C$22, $C$13, 100%, $E$13)</f>
        <v>10.0122</v>
      </c>
      <c r="F599" s="61">
        <f>10.0122 * CHOOSE(CONTROL!$C$22, $C$13, 100%, $E$13)</f>
        <v>10.0122</v>
      </c>
      <c r="G599" s="61">
        <f>10.0145 * CHOOSE(CONTROL!$C$22, $C$13, 100%, $E$13)</f>
        <v>10.0145</v>
      </c>
      <c r="H599" s="61">
        <f>17.2943* CHOOSE(CONTROL!$C$22, $C$13, 100%, $E$13)</f>
        <v>17.2943</v>
      </c>
      <c r="I599" s="61">
        <f>17.2966 * CHOOSE(CONTROL!$C$22, $C$13, 100%, $E$13)</f>
        <v>17.296600000000002</v>
      </c>
      <c r="J599" s="61">
        <f>9.9901 * CHOOSE(CONTROL!$C$22, $C$13, 100%, $E$13)</f>
        <v>9.9901</v>
      </c>
      <c r="K599" s="61">
        <f>10.0145 * CHOOSE(CONTROL!$C$22, $C$13, 100%, $E$13)</f>
        <v>10.0145</v>
      </c>
    </row>
    <row r="600" spans="1:11" ht="15">
      <c r="A600" s="13">
        <v>60115</v>
      </c>
      <c r="B600" s="60">
        <f>8.4787 * CHOOSE(CONTROL!$C$22, $C$13, 100%, $E$13)</f>
        <v>8.4786999999999999</v>
      </c>
      <c r="C600" s="60">
        <f>8.4787 * CHOOSE(CONTROL!$C$22, $C$13, 100%, $E$13)</f>
        <v>8.4786999999999999</v>
      </c>
      <c r="D600" s="60">
        <f>8.5163 * CHOOSE(CONTROL!$C$22, $C$13, 100%, $E$13)</f>
        <v>8.5162999999999993</v>
      </c>
      <c r="E600" s="61">
        <f>9.87 * CHOOSE(CONTROL!$C$22, $C$13, 100%, $E$13)</f>
        <v>9.8699999999999992</v>
      </c>
      <c r="F600" s="61">
        <f>9.87 * CHOOSE(CONTROL!$C$22, $C$13, 100%, $E$13)</f>
        <v>9.8699999999999992</v>
      </c>
      <c r="G600" s="61">
        <f>9.8723 * CHOOSE(CONTROL!$C$22, $C$13, 100%, $E$13)</f>
        <v>9.8722999999999992</v>
      </c>
      <c r="H600" s="61">
        <f>17.3304* CHOOSE(CONTROL!$C$22, $C$13, 100%, $E$13)</f>
        <v>17.330400000000001</v>
      </c>
      <c r="I600" s="61">
        <f>17.3327 * CHOOSE(CONTROL!$C$22, $C$13, 100%, $E$13)</f>
        <v>17.332699999999999</v>
      </c>
      <c r="J600" s="61">
        <f>9.8482 * CHOOSE(CONTROL!$C$22, $C$13, 100%, $E$13)</f>
        <v>9.8482000000000003</v>
      </c>
      <c r="K600" s="61">
        <f>9.8723 * CHOOSE(CONTROL!$C$22, $C$13, 100%, $E$13)</f>
        <v>9.8722999999999992</v>
      </c>
    </row>
    <row r="601" spans="1:11" ht="15">
      <c r="A601" s="13">
        <v>60146</v>
      </c>
      <c r="B601" s="60">
        <f>8.4756 * CHOOSE(CONTROL!$C$22, $C$13, 100%, $E$13)</f>
        <v>8.4756</v>
      </c>
      <c r="C601" s="60">
        <f>8.4756 * CHOOSE(CONTROL!$C$22, $C$13, 100%, $E$13)</f>
        <v>8.4756</v>
      </c>
      <c r="D601" s="60">
        <f>8.5132 * CHOOSE(CONTROL!$C$22, $C$13, 100%, $E$13)</f>
        <v>8.5131999999999994</v>
      </c>
      <c r="E601" s="61">
        <f>9.8515 * CHOOSE(CONTROL!$C$22, $C$13, 100%, $E$13)</f>
        <v>9.8514999999999997</v>
      </c>
      <c r="F601" s="61">
        <f>9.8515 * CHOOSE(CONTROL!$C$22, $C$13, 100%, $E$13)</f>
        <v>9.8514999999999997</v>
      </c>
      <c r="G601" s="61">
        <f>9.8538 * CHOOSE(CONTROL!$C$22, $C$13, 100%, $E$13)</f>
        <v>9.8537999999999997</v>
      </c>
      <c r="H601" s="61">
        <f>17.3665* CHOOSE(CONTROL!$C$22, $C$13, 100%, $E$13)</f>
        <v>17.366499999999998</v>
      </c>
      <c r="I601" s="61">
        <f>17.3688 * CHOOSE(CONTROL!$C$22, $C$13, 100%, $E$13)</f>
        <v>17.3688</v>
      </c>
      <c r="J601" s="61">
        <f>9.8298 * CHOOSE(CONTROL!$C$22, $C$13, 100%, $E$13)</f>
        <v>9.8298000000000005</v>
      </c>
      <c r="K601" s="61">
        <f>9.8538 * CHOOSE(CONTROL!$C$22, $C$13, 100%, $E$13)</f>
        <v>9.8537999999999997</v>
      </c>
    </row>
    <row r="602" spans="1:11" ht="15">
      <c r="A602" s="13">
        <v>60176</v>
      </c>
      <c r="B602" s="60">
        <f>8.4877 * CHOOSE(CONTROL!$C$22, $C$13, 100%, $E$13)</f>
        <v>8.4877000000000002</v>
      </c>
      <c r="C602" s="60">
        <f>8.4877 * CHOOSE(CONTROL!$C$22, $C$13, 100%, $E$13)</f>
        <v>8.4877000000000002</v>
      </c>
      <c r="D602" s="60">
        <f>8.5065 * CHOOSE(CONTROL!$C$22, $C$13, 100%, $E$13)</f>
        <v>8.5065000000000008</v>
      </c>
      <c r="E602" s="61">
        <f>9.9034 * CHOOSE(CONTROL!$C$22, $C$13, 100%, $E$13)</f>
        <v>9.9033999999999995</v>
      </c>
      <c r="F602" s="61">
        <f>9.9034 * CHOOSE(CONTROL!$C$22, $C$13, 100%, $E$13)</f>
        <v>9.9033999999999995</v>
      </c>
      <c r="G602" s="61">
        <f>9.9036 * CHOOSE(CONTROL!$C$22, $C$13, 100%, $E$13)</f>
        <v>9.9036000000000008</v>
      </c>
      <c r="H602" s="61">
        <f>17.4026* CHOOSE(CONTROL!$C$22, $C$13, 100%, $E$13)</f>
        <v>17.4026</v>
      </c>
      <c r="I602" s="61">
        <f>17.4028 * CHOOSE(CONTROL!$C$22, $C$13, 100%, $E$13)</f>
        <v>17.402799999999999</v>
      </c>
      <c r="J602" s="61">
        <f>9.8815 * CHOOSE(CONTROL!$C$22, $C$13, 100%, $E$13)</f>
        <v>9.8815000000000008</v>
      </c>
      <c r="K602" s="61">
        <f>9.9036 * CHOOSE(CONTROL!$C$22, $C$13, 100%, $E$13)</f>
        <v>9.9036000000000008</v>
      </c>
    </row>
    <row r="603" spans="1:11" ht="15">
      <c r="A603" s="13">
        <v>60207</v>
      </c>
      <c r="B603" s="60">
        <f>8.4907 * CHOOSE(CONTROL!$C$22, $C$13, 100%, $E$13)</f>
        <v>8.4907000000000004</v>
      </c>
      <c r="C603" s="60">
        <f>8.4907 * CHOOSE(CONTROL!$C$22, $C$13, 100%, $E$13)</f>
        <v>8.4907000000000004</v>
      </c>
      <c r="D603" s="60">
        <f>8.5096 * CHOOSE(CONTROL!$C$22, $C$13, 100%, $E$13)</f>
        <v>8.5096000000000007</v>
      </c>
      <c r="E603" s="61">
        <f>9.9382 * CHOOSE(CONTROL!$C$22, $C$13, 100%, $E$13)</f>
        <v>9.9382000000000001</v>
      </c>
      <c r="F603" s="61">
        <f>9.9382 * CHOOSE(CONTROL!$C$22, $C$13, 100%, $E$13)</f>
        <v>9.9382000000000001</v>
      </c>
      <c r="G603" s="61">
        <f>9.9384 * CHOOSE(CONTROL!$C$22, $C$13, 100%, $E$13)</f>
        <v>9.9383999999999997</v>
      </c>
      <c r="H603" s="61">
        <f>17.4389* CHOOSE(CONTROL!$C$22, $C$13, 100%, $E$13)</f>
        <v>17.4389</v>
      </c>
      <c r="I603" s="61">
        <f>17.4391 * CHOOSE(CONTROL!$C$22, $C$13, 100%, $E$13)</f>
        <v>17.4391</v>
      </c>
      <c r="J603" s="61">
        <f>9.9162 * CHOOSE(CONTROL!$C$22, $C$13, 100%, $E$13)</f>
        <v>9.9161999999999999</v>
      </c>
      <c r="K603" s="61">
        <f>9.9384 * CHOOSE(CONTROL!$C$22, $C$13, 100%, $E$13)</f>
        <v>9.9383999999999997</v>
      </c>
    </row>
    <row r="604" spans="1:11" ht="15">
      <c r="A604" s="13">
        <v>60237</v>
      </c>
      <c r="B604" s="60">
        <f>8.4907 * CHOOSE(CONTROL!$C$22, $C$13, 100%, $E$13)</f>
        <v>8.4907000000000004</v>
      </c>
      <c r="C604" s="60">
        <f>8.4907 * CHOOSE(CONTROL!$C$22, $C$13, 100%, $E$13)</f>
        <v>8.4907000000000004</v>
      </c>
      <c r="D604" s="60">
        <f>8.5096 * CHOOSE(CONTROL!$C$22, $C$13, 100%, $E$13)</f>
        <v>8.5096000000000007</v>
      </c>
      <c r="E604" s="61">
        <f>9.8566 * CHOOSE(CONTROL!$C$22, $C$13, 100%, $E$13)</f>
        <v>9.8566000000000003</v>
      </c>
      <c r="F604" s="61">
        <f>9.8566 * CHOOSE(CONTROL!$C$22, $C$13, 100%, $E$13)</f>
        <v>9.8566000000000003</v>
      </c>
      <c r="G604" s="61">
        <f>9.8567 * CHOOSE(CONTROL!$C$22, $C$13, 100%, $E$13)</f>
        <v>9.8567</v>
      </c>
      <c r="H604" s="61">
        <f>17.4752* CHOOSE(CONTROL!$C$22, $C$13, 100%, $E$13)</f>
        <v>17.475200000000001</v>
      </c>
      <c r="I604" s="61">
        <f>17.4754 * CHOOSE(CONTROL!$C$22, $C$13, 100%, $E$13)</f>
        <v>17.4754</v>
      </c>
      <c r="J604" s="61">
        <f>9.8348 * CHOOSE(CONTROL!$C$22, $C$13, 100%, $E$13)</f>
        <v>9.8347999999999995</v>
      </c>
      <c r="K604" s="61">
        <f>9.8567 * CHOOSE(CONTROL!$C$22, $C$13, 100%, $E$13)</f>
        <v>9.8567</v>
      </c>
    </row>
    <row r="605" spans="1:11" ht="15">
      <c r="A605" s="13">
        <v>60268</v>
      </c>
      <c r="B605" s="60">
        <f>8.5612 * CHOOSE(CONTROL!$C$22, $C$13, 100%, $E$13)</f>
        <v>8.5611999999999995</v>
      </c>
      <c r="C605" s="60">
        <f>8.5612 * CHOOSE(CONTROL!$C$22, $C$13, 100%, $E$13)</f>
        <v>8.5611999999999995</v>
      </c>
      <c r="D605" s="60">
        <f>8.58 * CHOOSE(CONTROL!$C$22, $C$13, 100%, $E$13)</f>
        <v>8.58</v>
      </c>
      <c r="E605" s="61">
        <f>10.0098 * CHOOSE(CONTROL!$C$22, $C$13, 100%, $E$13)</f>
        <v>10.0098</v>
      </c>
      <c r="F605" s="61">
        <f>10.0098 * CHOOSE(CONTROL!$C$22, $C$13, 100%, $E$13)</f>
        <v>10.0098</v>
      </c>
      <c r="G605" s="61">
        <f>10.0099 * CHOOSE(CONTROL!$C$22, $C$13, 100%, $E$13)</f>
        <v>10.0099</v>
      </c>
      <c r="H605" s="61">
        <f>17.4812* CHOOSE(CONTROL!$C$22, $C$13, 100%, $E$13)</f>
        <v>17.481200000000001</v>
      </c>
      <c r="I605" s="61">
        <f>17.4814 * CHOOSE(CONTROL!$C$22, $C$13, 100%, $E$13)</f>
        <v>17.481400000000001</v>
      </c>
      <c r="J605" s="61">
        <f>9.9663 * CHOOSE(CONTROL!$C$22, $C$13, 100%, $E$13)</f>
        <v>9.9663000000000004</v>
      </c>
      <c r="K605" s="61">
        <f>10.0099 * CHOOSE(CONTROL!$C$22, $C$13, 100%, $E$13)</f>
        <v>10.0099</v>
      </c>
    </row>
    <row r="606" spans="1:11" ht="15">
      <c r="A606" s="13">
        <v>60299</v>
      </c>
      <c r="B606" s="60">
        <f>8.5582 * CHOOSE(CONTROL!$C$22, $C$13, 100%, $E$13)</f>
        <v>8.5581999999999994</v>
      </c>
      <c r="C606" s="60">
        <f>8.5582 * CHOOSE(CONTROL!$C$22, $C$13, 100%, $E$13)</f>
        <v>8.5581999999999994</v>
      </c>
      <c r="D606" s="60">
        <f>8.577 * CHOOSE(CONTROL!$C$22, $C$13, 100%, $E$13)</f>
        <v>8.577</v>
      </c>
      <c r="E606" s="61">
        <f>9.8485 * CHOOSE(CONTROL!$C$22, $C$13, 100%, $E$13)</f>
        <v>9.8484999999999996</v>
      </c>
      <c r="F606" s="61">
        <f>9.8485 * CHOOSE(CONTROL!$C$22, $C$13, 100%, $E$13)</f>
        <v>9.8484999999999996</v>
      </c>
      <c r="G606" s="61">
        <f>9.8487 * CHOOSE(CONTROL!$C$22, $C$13, 100%, $E$13)</f>
        <v>9.8486999999999991</v>
      </c>
      <c r="H606" s="61">
        <f>17.5176* CHOOSE(CONTROL!$C$22, $C$13, 100%, $E$13)</f>
        <v>17.517600000000002</v>
      </c>
      <c r="I606" s="61">
        <f>17.5178 * CHOOSE(CONTROL!$C$22, $C$13, 100%, $E$13)</f>
        <v>17.517800000000001</v>
      </c>
      <c r="J606" s="61">
        <f>9.8059 * CHOOSE(CONTROL!$C$22, $C$13, 100%, $E$13)</f>
        <v>9.8058999999999994</v>
      </c>
      <c r="K606" s="61">
        <f>9.8487 * CHOOSE(CONTROL!$C$22, $C$13, 100%, $E$13)</f>
        <v>9.8486999999999991</v>
      </c>
    </row>
    <row r="607" spans="1:11" ht="15">
      <c r="A607" s="13">
        <v>60327</v>
      </c>
      <c r="B607" s="60">
        <f>8.5551 * CHOOSE(CONTROL!$C$22, $C$13, 100%, $E$13)</f>
        <v>8.5550999999999995</v>
      </c>
      <c r="C607" s="60">
        <f>8.5551 * CHOOSE(CONTROL!$C$22, $C$13, 100%, $E$13)</f>
        <v>8.5550999999999995</v>
      </c>
      <c r="D607" s="60">
        <f>8.5739 * CHOOSE(CONTROL!$C$22, $C$13, 100%, $E$13)</f>
        <v>8.5739000000000001</v>
      </c>
      <c r="E607" s="61">
        <f>9.9718 * CHOOSE(CONTROL!$C$22, $C$13, 100%, $E$13)</f>
        <v>9.9718</v>
      </c>
      <c r="F607" s="61">
        <f>9.9718 * CHOOSE(CONTROL!$C$22, $C$13, 100%, $E$13)</f>
        <v>9.9718</v>
      </c>
      <c r="G607" s="61">
        <f>9.972 * CHOOSE(CONTROL!$C$22, $C$13, 100%, $E$13)</f>
        <v>9.9719999999999995</v>
      </c>
      <c r="H607" s="61">
        <f>17.5541* CHOOSE(CONTROL!$C$22, $C$13, 100%, $E$13)</f>
        <v>17.554099999999998</v>
      </c>
      <c r="I607" s="61">
        <f>17.5543 * CHOOSE(CONTROL!$C$22, $C$13, 100%, $E$13)</f>
        <v>17.554300000000001</v>
      </c>
      <c r="J607" s="61">
        <f>9.9286 * CHOOSE(CONTROL!$C$22, $C$13, 100%, $E$13)</f>
        <v>9.9285999999999994</v>
      </c>
      <c r="K607" s="61">
        <f>9.972 * CHOOSE(CONTROL!$C$22, $C$13, 100%, $E$13)</f>
        <v>9.9719999999999995</v>
      </c>
    </row>
    <row r="608" spans="1:11" ht="15">
      <c r="A608" s="13">
        <v>60358</v>
      </c>
      <c r="B608" s="60">
        <f>8.5573 * CHOOSE(CONTROL!$C$22, $C$13, 100%, $E$13)</f>
        <v>8.5572999999999997</v>
      </c>
      <c r="C608" s="60">
        <f>8.5573 * CHOOSE(CONTROL!$C$22, $C$13, 100%, $E$13)</f>
        <v>8.5572999999999997</v>
      </c>
      <c r="D608" s="60">
        <f>8.5761 * CHOOSE(CONTROL!$C$22, $C$13, 100%, $E$13)</f>
        <v>8.5761000000000003</v>
      </c>
      <c r="E608" s="61">
        <f>10.1024 * CHOOSE(CONTROL!$C$22, $C$13, 100%, $E$13)</f>
        <v>10.102399999999999</v>
      </c>
      <c r="F608" s="61">
        <f>10.1024 * CHOOSE(CONTROL!$C$22, $C$13, 100%, $E$13)</f>
        <v>10.102399999999999</v>
      </c>
      <c r="G608" s="61">
        <f>10.1025 * CHOOSE(CONTROL!$C$22, $C$13, 100%, $E$13)</f>
        <v>10.102499999999999</v>
      </c>
      <c r="H608" s="61">
        <f>17.5907* CHOOSE(CONTROL!$C$22, $C$13, 100%, $E$13)</f>
        <v>17.590699999999998</v>
      </c>
      <c r="I608" s="61">
        <f>17.5908 * CHOOSE(CONTROL!$C$22, $C$13, 100%, $E$13)</f>
        <v>17.590800000000002</v>
      </c>
      <c r="J608" s="61">
        <f>10.0584 * CHOOSE(CONTROL!$C$22, $C$13, 100%, $E$13)</f>
        <v>10.058400000000001</v>
      </c>
      <c r="K608" s="61">
        <f>10.1025 * CHOOSE(CONTROL!$C$22, $C$13, 100%, $E$13)</f>
        <v>10.102499999999999</v>
      </c>
    </row>
    <row r="609" spans="1:11" ht="15">
      <c r="A609" s="13">
        <v>60388</v>
      </c>
      <c r="B609" s="60">
        <f>8.5573 * CHOOSE(CONTROL!$C$22, $C$13, 100%, $E$13)</f>
        <v>8.5572999999999997</v>
      </c>
      <c r="C609" s="60">
        <f>8.5573 * CHOOSE(CONTROL!$C$22, $C$13, 100%, $E$13)</f>
        <v>8.5572999999999997</v>
      </c>
      <c r="D609" s="60">
        <f>8.5949 * CHOOSE(CONTROL!$C$22, $C$13, 100%, $E$13)</f>
        <v>8.5949000000000009</v>
      </c>
      <c r="E609" s="61">
        <f>10.1529 * CHOOSE(CONTROL!$C$22, $C$13, 100%, $E$13)</f>
        <v>10.152900000000001</v>
      </c>
      <c r="F609" s="61">
        <f>10.1529 * CHOOSE(CONTROL!$C$22, $C$13, 100%, $E$13)</f>
        <v>10.152900000000001</v>
      </c>
      <c r="G609" s="61">
        <f>10.1552 * CHOOSE(CONTROL!$C$22, $C$13, 100%, $E$13)</f>
        <v>10.155200000000001</v>
      </c>
      <c r="H609" s="61">
        <f>17.6273* CHOOSE(CONTROL!$C$22, $C$13, 100%, $E$13)</f>
        <v>17.627300000000002</v>
      </c>
      <c r="I609" s="61">
        <f>17.6296 * CHOOSE(CONTROL!$C$22, $C$13, 100%, $E$13)</f>
        <v>17.6296</v>
      </c>
      <c r="J609" s="61">
        <f>10.1086 * CHOOSE(CONTROL!$C$22, $C$13, 100%, $E$13)</f>
        <v>10.108599999999999</v>
      </c>
      <c r="K609" s="61">
        <f>10.1552 * CHOOSE(CONTROL!$C$22, $C$13, 100%, $E$13)</f>
        <v>10.155200000000001</v>
      </c>
    </row>
    <row r="610" spans="1:11" ht="15">
      <c r="A610" s="13">
        <v>60419</v>
      </c>
      <c r="B610" s="60">
        <f>8.5634 * CHOOSE(CONTROL!$C$22, $C$13, 100%, $E$13)</f>
        <v>8.5633999999999997</v>
      </c>
      <c r="C610" s="60">
        <f>8.5634 * CHOOSE(CONTROL!$C$22, $C$13, 100%, $E$13)</f>
        <v>8.5633999999999997</v>
      </c>
      <c r="D610" s="60">
        <f>8.601 * CHOOSE(CONTROL!$C$22, $C$13, 100%, $E$13)</f>
        <v>8.6010000000000009</v>
      </c>
      <c r="E610" s="61">
        <f>10.1066 * CHOOSE(CONTROL!$C$22, $C$13, 100%, $E$13)</f>
        <v>10.1066</v>
      </c>
      <c r="F610" s="61">
        <f>10.1066 * CHOOSE(CONTROL!$C$22, $C$13, 100%, $E$13)</f>
        <v>10.1066</v>
      </c>
      <c r="G610" s="61">
        <f>10.1089 * CHOOSE(CONTROL!$C$22, $C$13, 100%, $E$13)</f>
        <v>10.1089</v>
      </c>
      <c r="H610" s="61">
        <f>17.664* CHOOSE(CONTROL!$C$22, $C$13, 100%, $E$13)</f>
        <v>17.664000000000001</v>
      </c>
      <c r="I610" s="61">
        <f>17.6664 * CHOOSE(CONTROL!$C$22, $C$13, 100%, $E$13)</f>
        <v>17.666399999999999</v>
      </c>
      <c r="J610" s="61">
        <f>10.0626 * CHOOSE(CONTROL!$C$22, $C$13, 100%, $E$13)</f>
        <v>10.0626</v>
      </c>
      <c r="K610" s="61">
        <f>10.1089 * CHOOSE(CONTROL!$C$22, $C$13, 100%, $E$13)</f>
        <v>10.1089</v>
      </c>
    </row>
    <row r="611" spans="1:11" ht="15">
      <c r="A611" s="13">
        <v>60449</v>
      </c>
      <c r="B611" s="60">
        <f>8.6869 * CHOOSE(CONTROL!$C$22, $C$13, 100%, $E$13)</f>
        <v>8.6868999999999996</v>
      </c>
      <c r="C611" s="60">
        <f>8.6869 * CHOOSE(CONTROL!$C$22, $C$13, 100%, $E$13)</f>
        <v>8.6868999999999996</v>
      </c>
      <c r="D611" s="60">
        <f>8.7245 * CHOOSE(CONTROL!$C$22, $C$13, 100%, $E$13)</f>
        <v>8.7245000000000008</v>
      </c>
      <c r="E611" s="61">
        <f>10.2939 * CHOOSE(CONTROL!$C$22, $C$13, 100%, $E$13)</f>
        <v>10.293900000000001</v>
      </c>
      <c r="F611" s="61">
        <f>10.2939 * CHOOSE(CONTROL!$C$22, $C$13, 100%, $E$13)</f>
        <v>10.293900000000001</v>
      </c>
      <c r="G611" s="61">
        <f>10.2962 * CHOOSE(CONTROL!$C$22, $C$13, 100%, $E$13)</f>
        <v>10.296200000000001</v>
      </c>
      <c r="H611" s="61">
        <f>17.7008* CHOOSE(CONTROL!$C$22, $C$13, 100%, $E$13)</f>
        <v>17.700800000000001</v>
      </c>
      <c r="I611" s="61">
        <f>17.7032 * CHOOSE(CONTROL!$C$22, $C$13, 100%, $E$13)</f>
        <v>17.703199999999999</v>
      </c>
      <c r="J611" s="61">
        <f>10.2492 * CHOOSE(CONTROL!$C$22, $C$13, 100%, $E$13)</f>
        <v>10.2492</v>
      </c>
      <c r="K611" s="61">
        <f>10.2962 * CHOOSE(CONTROL!$C$22, $C$13, 100%, $E$13)</f>
        <v>10.296200000000001</v>
      </c>
    </row>
    <row r="612" spans="1:11" ht="15">
      <c r="A612" s="13">
        <v>60480</v>
      </c>
      <c r="B612" s="60">
        <f>8.6936 * CHOOSE(CONTROL!$C$22, $C$13, 100%, $E$13)</f>
        <v>8.6936</v>
      </c>
      <c r="C612" s="60">
        <f>8.6936 * CHOOSE(CONTROL!$C$22, $C$13, 100%, $E$13)</f>
        <v>8.6936</v>
      </c>
      <c r="D612" s="60">
        <f>8.7312 * CHOOSE(CONTROL!$C$22, $C$13, 100%, $E$13)</f>
        <v>8.7311999999999994</v>
      </c>
      <c r="E612" s="61">
        <f>10.147 * CHOOSE(CONTROL!$C$22, $C$13, 100%, $E$13)</f>
        <v>10.147</v>
      </c>
      <c r="F612" s="61">
        <f>10.147 * CHOOSE(CONTROL!$C$22, $C$13, 100%, $E$13)</f>
        <v>10.147</v>
      </c>
      <c r="G612" s="61">
        <f>10.1493 * CHOOSE(CONTROL!$C$22, $C$13, 100%, $E$13)</f>
        <v>10.1493</v>
      </c>
      <c r="H612" s="61">
        <f>17.7377* CHOOSE(CONTROL!$C$22, $C$13, 100%, $E$13)</f>
        <v>17.7377</v>
      </c>
      <c r="I612" s="61">
        <f>17.74 * CHOOSE(CONTROL!$C$22, $C$13, 100%, $E$13)</f>
        <v>17.739999999999998</v>
      </c>
      <c r="J612" s="61">
        <f>10.1031 * CHOOSE(CONTROL!$C$22, $C$13, 100%, $E$13)</f>
        <v>10.1031</v>
      </c>
      <c r="K612" s="61">
        <f>10.1493 * CHOOSE(CONTROL!$C$22, $C$13, 100%, $E$13)</f>
        <v>10.1493</v>
      </c>
    </row>
    <row r="613" spans="1:11" ht="15">
      <c r="A613" s="13">
        <v>60511</v>
      </c>
      <c r="B613" s="60">
        <f>8.6905 * CHOOSE(CONTROL!$C$22, $C$13, 100%, $E$13)</f>
        <v>8.6905000000000001</v>
      </c>
      <c r="C613" s="60">
        <f>8.6905 * CHOOSE(CONTROL!$C$22, $C$13, 100%, $E$13)</f>
        <v>8.6905000000000001</v>
      </c>
      <c r="D613" s="60">
        <f>8.7282 * CHOOSE(CONTROL!$C$22, $C$13, 100%, $E$13)</f>
        <v>8.7281999999999993</v>
      </c>
      <c r="E613" s="61">
        <f>10.128 * CHOOSE(CONTROL!$C$22, $C$13, 100%, $E$13)</f>
        <v>10.128</v>
      </c>
      <c r="F613" s="61">
        <f>10.128 * CHOOSE(CONTROL!$C$22, $C$13, 100%, $E$13)</f>
        <v>10.128</v>
      </c>
      <c r="G613" s="61">
        <f>10.1303 * CHOOSE(CONTROL!$C$22, $C$13, 100%, $E$13)</f>
        <v>10.1303</v>
      </c>
      <c r="H613" s="61">
        <f>17.7747* CHOOSE(CONTROL!$C$22, $C$13, 100%, $E$13)</f>
        <v>17.774699999999999</v>
      </c>
      <c r="I613" s="61">
        <f>17.777 * CHOOSE(CONTROL!$C$22, $C$13, 100%, $E$13)</f>
        <v>17.777000000000001</v>
      </c>
      <c r="J613" s="61">
        <f>10.0842 * CHOOSE(CONTROL!$C$22, $C$13, 100%, $E$13)</f>
        <v>10.084199999999999</v>
      </c>
      <c r="K613" s="61">
        <f>10.1303 * CHOOSE(CONTROL!$C$22, $C$13, 100%, $E$13)</f>
        <v>10.1303</v>
      </c>
    </row>
    <row r="614" spans="1:11" ht="15">
      <c r="A614" s="13">
        <v>60541</v>
      </c>
      <c r="B614" s="60">
        <f>8.7034 * CHOOSE(CONTROL!$C$22, $C$13, 100%, $E$13)</f>
        <v>8.7034000000000002</v>
      </c>
      <c r="C614" s="60">
        <f>8.7034 * CHOOSE(CONTROL!$C$22, $C$13, 100%, $E$13)</f>
        <v>8.7034000000000002</v>
      </c>
      <c r="D614" s="60">
        <f>8.7222 * CHOOSE(CONTROL!$C$22, $C$13, 100%, $E$13)</f>
        <v>8.7222000000000008</v>
      </c>
      <c r="E614" s="61">
        <f>10.182 * CHOOSE(CONTROL!$C$22, $C$13, 100%, $E$13)</f>
        <v>10.182</v>
      </c>
      <c r="F614" s="61">
        <f>10.182 * CHOOSE(CONTROL!$C$22, $C$13, 100%, $E$13)</f>
        <v>10.182</v>
      </c>
      <c r="G614" s="61">
        <f>10.1821 * CHOOSE(CONTROL!$C$22, $C$13, 100%, $E$13)</f>
        <v>10.1821</v>
      </c>
      <c r="H614" s="61">
        <f>17.8117* CHOOSE(CONTROL!$C$22, $C$13, 100%, $E$13)</f>
        <v>17.811699999999998</v>
      </c>
      <c r="I614" s="61">
        <f>17.8119 * CHOOSE(CONTROL!$C$22, $C$13, 100%, $E$13)</f>
        <v>17.811900000000001</v>
      </c>
      <c r="J614" s="61">
        <f>10.1378 * CHOOSE(CONTROL!$C$22, $C$13, 100%, $E$13)</f>
        <v>10.1378</v>
      </c>
      <c r="K614" s="61">
        <f>10.1821 * CHOOSE(CONTROL!$C$22, $C$13, 100%, $E$13)</f>
        <v>10.1821</v>
      </c>
    </row>
    <row r="615" spans="1:11" ht="15">
      <c r="A615" s="13">
        <v>60572</v>
      </c>
      <c r="B615" s="60">
        <f>8.7065 * CHOOSE(CONTROL!$C$22, $C$13, 100%, $E$13)</f>
        <v>8.7065000000000001</v>
      </c>
      <c r="C615" s="60">
        <f>8.7065 * CHOOSE(CONTROL!$C$22, $C$13, 100%, $E$13)</f>
        <v>8.7065000000000001</v>
      </c>
      <c r="D615" s="60">
        <f>8.7253 * CHOOSE(CONTROL!$C$22, $C$13, 100%, $E$13)</f>
        <v>8.7253000000000007</v>
      </c>
      <c r="E615" s="61">
        <f>10.2178 * CHOOSE(CONTROL!$C$22, $C$13, 100%, $E$13)</f>
        <v>10.2178</v>
      </c>
      <c r="F615" s="61">
        <f>10.2178 * CHOOSE(CONTROL!$C$22, $C$13, 100%, $E$13)</f>
        <v>10.2178</v>
      </c>
      <c r="G615" s="61">
        <f>10.218 * CHOOSE(CONTROL!$C$22, $C$13, 100%, $E$13)</f>
        <v>10.218</v>
      </c>
      <c r="H615" s="61">
        <f>17.8488* CHOOSE(CONTROL!$C$22, $C$13, 100%, $E$13)</f>
        <v>17.848800000000001</v>
      </c>
      <c r="I615" s="61">
        <f>17.849 * CHOOSE(CONTROL!$C$22, $C$13, 100%, $E$13)</f>
        <v>17.849</v>
      </c>
      <c r="J615" s="61">
        <f>10.1734 * CHOOSE(CONTROL!$C$22, $C$13, 100%, $E$13)</f>
        <v>10.173400000000001</v>
      </c>
      <c r="K615" s="61">
        <f>10.218 * CHOOSE(CONTROL!$C$22, $C$13, 100%, $E$13)</f>
        <v>10.218</v>
      </c>
    </row>
    <row r="616" spans="1:11" ht="15">
      <c r="A616" s="13">
        <v>60602</v>
      </c>
      <c r="B616" s="60">
        <f>8.7065 * CHOOSE(CONTROL!$C$22, $C$13, 100%, $E$13)</f>
        <v>8.7065000000000001</v>
      </c>
      <c r="C616" s="60">
        <f>8.7065 * CHOOSE(CONTROL!$C$22, $C$13, 100%, $E$13)</f>
        <v>8.7065000000000001</v>
      </c>
      <c r="D616" s="60">
        <f>8.7253 * CHOOSE(CONTROL!$C$22, $C$13, 100%, $E$13)</f>
        <v>8.7253000000000007</v>
      </c>
      <c r="E616" s="61">
        <f>10.1336 * CHOOSE(CONTROL!$C$22, $C$13, 100%, $E$13)</f>
        <v>10.133599999999999</v>
      </c>
      <c r="F616" s="61">
        <f>10.1336 * CHOOSE(CONTROL!$C$22, $C$13, 100%, $E$13)</f>
        <v>10.133599999999999</v>
      </c>
      <c r="G616" s="61">
        <f>10.1337 * CHOOSE(CONTROL!$C$22, $C$13, 100%, $E$13)</f>
        <v>10.133699999999999</v>
      </c>
      <c r="H616" s="61">
        <f>17.886* CHOOSE(CONTROL!$C$22, $C$13, 100%, $E$13)</f>
        <v>17.885999999999999</v>
      </c>
      <c r="I616" s="61">
        <f>17.8862 * CHOOSE(CONTROL!$C$22, $C$13, 100%, $E$13)</f>
        <v>17.886199999999999</v>
      </c>
      <c r="J616" s="61">
        <f>10.0896 * CHOOSE(CONTROL!$C$22, $C$13, 100%, $E$13)</f>
        <v>10.089600000000001</v>
      </c>
      <c r="K616" s="61">
        <f>10.1337 * CHOOSE(CONTROL!$C$22, $C$13, 100%, $E$13)</f>
        <v>10.133699999999999</v>
      </c>
    </row>
    <row r="617" spans="1:11" ht="15">
      <c r="A617" s="13">
        <v>60633</v>
      </c>
      <c r="B617" s="60">
        <f>8.7732 * CHOOSE(CONTROL!$C$22, $C$13, 100%, $E$13)</f>
        <v>8.7731999999999992</v>
      </c>
      <c r="C617" s="60">
        <f>8.7732 * CHOOSE(CONTROL!$C$22, $C$13, 100%, $E$13)</f>
        <v>8.7731999999999992</v>
      </c>
      <c r="D617" s="60">
        <f>8.792 * CHOOSE(CONTROL!$C$22, $C$13, 100%, $E$13)</f>
        <v>8.7919999999999998</v>
      </c>
      <c r="E617" s="61">
        <f>10.2835 * CHOOSE(CONTROL!$C$22, $C$13, 100%, $E$13)</f>
        <v>10.2835</v>
      </c>
      <c r="F617" s="61">
        <f>10.2835 * CHOOSE(CONTROL!$C$22, $C$13, 100%, $E$13)</f>
        <v>10.2835</v>
      </c>
      <c r="G617" s="61">
        <f>10.2837 * CHOOSE(CONTROL!$C$22, $C$13, 100%, $E$13)</f>
        <v>10.2837</v>
      </c>
      <c r="H617" s="61">
        <f>17.8826* CHOOSE(CONTROL!$C$22, $C$13, 100%, $E$13)</f>
        <v>17.8826</v>
      </c>
      <c r="I617" s="61">
        <f>17.8828 * CHOOSE(CONTROL!$C$22, $C$13, 100%, $E$13)</f>
        <v>17.8828</v>
      </c>
      <c r="J617" s="61">
        <f>10.2182 * CHOOSE(CONTROL!$C$22, $C$13, 100%, $E$13)</f>
        <v>10.2182</v>
      </c>
      <c r="K617" s="61">
        <f>10.2837 * CHOOSE(CONTROL!$C$22, $C$13, 100%, $E$13)</f>
        <v>10.2837</v>
      </c>
    </row>
    <row r="618" spans="1:11" ht="15">
      <c r="A618" s="13">
        <v>60664</v>
      </c>
      <c r="B618" s="60">
        <f>8.7702 * CHOOSE(CONTROL!$C$22, $C$13, 100%, $E$13)</f>
        <v>8.7702000000000009</v>
      </c>
      <c r="C618" s="60">
        <f>8.7702 * CHOOSE(CONTROL!$C$22, $C$13, 100%, $E$13)</f>
        <v>8.7702000000000009</v>
      </c>
      <c r="D618" s="60">
        <f>8.789 * CHOOSE(CONTROL!$C$22, $C$13, 100%, $E$13)</f>
        <v>8.7889999999999997</v>
      </c>
      <c r="E618" s="61">
        <f>10.1173 * CHOOSE(CONTROL!$C$22, $C$13, 100%, $E$13)</f>
        <v>10.1173</v>
      </c>
      <c r="F618" s="61">
        <f>10.1173 * CHOOSE(CONTROL!$C$22, $C$13, 100%, $E$13)</f>
        <v>10.1173</v>
      </c>
      <c r="G618" s="61">
        <f>10.1175 * CHOOSE(CONTROL!$C$22, $C$13, 100%, $E$13)</f>
        <v>10.1175</v>
      </c>
      <c r="H618" s="61">
        <f>17.9199* CHOOSE(CONTROL!$C$22, $C$13, 100%, $E$13)</f>
        <v>17.919899999999998</v>
      </c>
      <c r="I618" s="61">
        <f>17.9201 * CHOOSE(CONTROL!$C$22, $C$13, 100%, $E$13)</f>
        <v>17.920100000000001</v>
      </c>
      <c r="J618" s="61">
        <f>10.0533 * CHOOSE(CONTROL!$C$22, $C$13, 100%, $E$13)</f>
        <v>10.0533</v>
      </c>
      <c r="K618" s="61">
        <f>10.1175 * CHOOSE(CONTROL!$C$22, $C$13, 100%, $E$13)</f>
        <v>10.1175</v>
      </c>
    </row>
    <row r="619" spans="1:11" ht="15">
      <c r="A619" s="13">
        <v>60692</v>
      </c>
      <c r="B619" s="60">
        <f>8.7671 * CHOOSE(CONTROL!$C$22, $C$13, 100%, $E$13)</f>
        <v>8.7670999999999992</v>
      </c>
      <c r="C619" s="60">
        <f>8.7671 * CHOOSE(CONTROL!$C$22, $C$13, 100%, $E$13)</f>
        <v>8.7670999999999992</v>
      </c>
      <c r="D619" s="60">
        <f>8.7859 * CHOOSE(CONTROL!$C$22, $C$13, 100%, $E$13)</f>
        <v>8.7858999999999998</v>
      </c>
      <c r="E619" s="61">
        <f>10.2446 * CHOOSE(CONTROL!$C$22, $C$13, 100%, $E$13)</f>
        <v>10.2446</v>
      </c>
      <c r="F619" s="61">
        <f>10.2446 * CHOOSE(CONTROL!$C$22, $C$13, 100%, $E$13)</f>
        <v>10.2446</v>
      </c>
      <c r="G619" s="61">
        <f>10.2447 * CHOOSE(CONTROL!$C$22, $C$13, 100%, $E$13)</f>
        <v>10.2447</v>
      </c>
      <c r="H619" s="61">
        <f>17.9572* CHOOSE(CONTROL!$C$22, $C$13, 100%, $E$13)</f>
        <v>17.9572</v>
      </c>
      <c r="I619" s="61">
        <f>17.9574 * CHOOSE(CONTROL!$C$22, $C$13, 100%, $E$13)</f>
        <v>17.9574</v>
      </c>
      <c r="J619" s="61">
        <f>10.1795 * CHOOSE(CONTROL!$C$22, $C$13, 100%, $E$13)</f>
        <v>10.179500000000001</v>
      </c>
      <c r="K619" s="61">
        <f>10.2447 * CHOOSE(CONTROL!$C$22, $C$13, 100%, $E$13)</f>
        <v>10.2447</v>
      </c>
    </row>
    <row r="620" spans="1:11" ht="15">
      <c r="A620" s="13">
        <v>60723</v>
      </c>
      <c r="B620" s="60">
        <f>8.7695 * CHOOSE(CONTROL!$C$22, $C$13, 100%, $E$13)</f>
        <v>8.7695000000000007</v>
      </c>
      <c r="C620" s="60">
        <f>8.7695 * CHOOSE(CONTROL!$C$22, $C$13, 100%, $E$13)</f>
        <v>8.7695000000000007</v>
      </c>
      <c r="D620" s="60">
        <f>8.7883 * CHOOSE(CONTROL!$C$22, $C$13, 100%, $E$13)</f>
        <v>8.7882999999999996</v>
      </c>
      <c r="E620" s="61">
        <f>10.3792 * CHOOSE(CONTROL!$C$22, $C$13, 100%, $E$13)</f>
        <v>10.379200000000001</v>
      </c>
      <c r="F620" s="61">
        <f>10.3792 * CHOOSE(CONTROL!$C$22, $C$13, 100%, $E$13)</f>
        <v>10.379200000000001</v>
      </c>
      <c r="G620" s="61">
        <f>10.3794 * CHOOSE(CONTROL!$C$22, $C$13, 100%, $E$13)</f>
        <v>10.3794</v>
      </c>
      <c r="H620" s="61">
        <f>17.9946* CHOOSE(CONTROL!$C$22, $C$13, 100%, $E$13)</f>
        <v>17.994599999999998</v>
      </c>
      <c r="I620" s="61">
        <f>17.9948 * CHOOSE(CONTROL!$C$22, $C$13, 100%, $E$13)</f>
        <v>17.994800000000001</v>
      </c>
      <c r="J620" s="61">
        <f>10.313 * CHOOSE(CONTROL!$C$22, $C$13, 100%, $E$13)</f>
        <v>10.313000000000001</v>
      </c>
      <c r="K620" s="61">
        <f>10.3794 * CHOOSE(CONTROL!$C$22, $C$13, 100%, $E$13)</f>
        <v>10.3794</v>
      </c>
    </row>
    <row r="621" spans="1:11" ht="15">
      <c r="A621" s="13">
        <v>60753</v>
      </c>
      <c r="B621" s="60">
        <f>8.7695 * CHOOSE(CONTROL!$C$22, $C$13, 100%, $E$13)</f>
        <v>8.7695000000000007</v>
      </c>
      <c r="C621" s="60">
        <f>8.7695 * CHOOSE(CONTROL!$C$22, $C$13, 100%, $E$13)</f>
        <v>8.7695000000000007</v>
      </c>
      <c r="D621" s="60">
        <f>8.8071 * CHOOSE(CONTROL!$C$22, $C$13, 100%, $E$13)</f>
        <v>8.8071000000000002</v>
      </c>
      <c r="E621" s="61">
        <f>10.4313 * CHOOSE(CONTROL!$C$22, $C$13, 100%, $E$13)</f>
        <v>10.4313</v>
      </c>
      <c r="F621" s="61">
        <f>10.4313 * CHOOSE(CONTROL!$C$22, $C$13, 100%, $E$13)</f>
        <v>10.4313</v>
      </c>
      <c r="G621" s="61">
        <f>10.4336 * CHOOSE(CONTROL!$C$22, $C$13, 100%, $E$13)</f>
        <v>10.4336</v>
      </c>
      <c r="H621" s="61">
        <f>18.0321* CHOOSE(CONTROL!$C$22, $C$13, 100%, $E$13)</f>
        <v>18.0321</v>
      </c>
      <c r="I621" s="61">
        <f>18.0344 * CHOOSE(CONTROL!$C$22, $C$13, 100%, $E$13)</f>
        <v>18.034400000000002</v>
      </c>
      <c r="J621" s="61">
        <f>10.3647 * CHOOSE(CONTROL!$C$22, $C$13, 100%, $E$13)</f>
        <v>10.364699999999999</v>
      </c>
      <c r="K621" s="61">
        <f>10.4336 * CHOOSE(CONTROL!$C$22, $C$13, 100%, $E$13)</f>
        <v>10.4336</v>
      </c>
    </row>
    <row r="622" spans="1:11" ht="15">
      <c r="A622" s="13">
        <v>60784</v>
      </c>
      <c r="B622" s="60">
        <f>8.7756 * CHOOSE(CONTROL!$C$22, $C$13, 100%, $E$13)</f>
        <v>8.7756000000000007</v>
      </c>
      <c r="C622" s="60">
        <f>8.7756 * CHOOSE(CONTROL!$C$22, $C$13, 100%, $E$13)</f>
        <v>8.7756000000000007</v>
      </c>
      <c r="D622" s="60">
        <f>8.8132 * CHOOSE(CONTROL!$C$22, $C$13, 100%, $E$13)</f>
        <v>8.8132000000000001</v>
      </c>
      <c r="E622" s="61">
        <f>10.3835 * CHOOSE(CONTROL!$C$22, $C$13, 100%, $E$13)</f>
        <v>10.3835</v>
      </c>
      <c r="F622" s="61">
        <f>10.3835 * CHOOSE(CONTROL!$C$22, $C$13, 100%, $E$13)</f>
        <v>10.3835</v>
      </c>
      <c r="G622" s="61">
        <f>10.3858 * CHOOSE(CONTROL!$C$22, $C$13, 100%, $E$13)</f>
        <v>10.3858</v>
      </c>
      <c r="H622" s="61">
        <f>18.0697* CHOOSE(CONTROL!$C$22, $C$13, 100%, $E$13)</f>
        <v>18.069700000000001</v>
      </c>
      <c r="I622" s="61">
        <f>18.072 * CHOOSE(CONTROL!$C$22, $C$13, 100%, $E$13)</f>
        <v>18.071999999999999</v>
      </c>
      <c r="J622" s="61">
        <f>10.3173 * CHOOSE(CONTROL!$C$22, $C$13, 100%, $E$13)</f>
        <v>10.317299999999999</v>
      </c>
      <c r="K622" s="61">
        <f>10.3858 * CHOOSE(CONTROL!$C$22, $C$13, 100%, $E$13)</f>
        <v>10.3858</v>
      </c>
    </row>
    <row r="623" spans="1:11" ht="15">
      <c r="A623" s="13">
        <v>60814</v>
      </c>
      <c r="B623" s="60">
        <f>8.9018 * CHOOSE(CONTROL!$C$22, $C$13, 100%, $E$13)</f>
        <v>8.9017999999999997</v>
      </c>
      <c r="C623" s="60">
        <f>8.9018 * CHOOSE(CONTROL!$C$22, $C$13, 100%, $E$13)</f>
        <v>8.9017999999999997</v>
      </c>
      <c r="D623" s="60">
        <f>8.9394 * CHOOSE(CONTROL!$C$22, $C$13, 100%, $E$13)</f>
        <v>8.9393999999999991</v>
      </c>
      <c r="E623" s="61">
        <f>10.5756 * CHOOSE(CONTROL!$C$22, $C$13, 100%, $E$13)</f>
        <v>10.5756</v>
      </c>
      <c r="F623" s="61">
        <f>10.5756 * CHOOSE(CONTROL!$C$22, $C$13, 100%, $E$13)</f>
        <v>10.5756</v>
      </c>
      <c r="G623" s="61">
        <f>10.5779 * CHOOSE(CONTROL!$C$22, $C$13, 100%, $E$13)</f>
        <v>10.5779</v>
      </c>
      <c r="H623" s="61">
        <f>18.1073* CHOOSE(CONTROL!$C$22, $C$13, 100%, $E$13)</f>
        <v>18.107299999999999</v>
      </c>
      <c r="I623" s="61">
        <f>18.1097 * CHOOSE(CONTROL!$C$22, $C$13, 100%, $E$13)</f>
        <v>18.1097</v>
      </c>
      <c r="J623" s="61">
        <f>10.5083 * CHOOSE(CONTROL!$C$22, $C$13, 100%, $E$13)</f>
        <v>10.5083</v>
      </c>
      <c r="K623" s="61">
        <f>10.5779 * CHOOSE(CONTROL!$C$22, $C$13, 100%, $E$13)</f>
        <v>10.5779</v>
      </c>
    </row>
    <row r="624" spans="1:11" ht="15">
      <c r="A624" s="13">
        <v>60845</v>
      </c>
      <c r="B624" s="60">
        <f>8.9085 * CHOOSE(CONTROL!$C$22, $C$13, 100%, $E$13)</f>
        <v>8.9085000000000001</v>
      </c>
      <c r="C624" s="60">
        <f>8.9085 * CHOOSE(CONTROL!$C$22, $C$13, 100%, $E$13)</f>
        <v>8.9085000000000001</v>
      </c>
      <c r="D624" s="60">
        <f>8.9461 * CHOOSE(CONTROL!$C$22, $C$13, 100%, $E$13)</f>
        <v>8.9460999999999995</v>
      </c>
      <c r="E624" s="61">
        <f>10.424 * CHOOSE(CONTROL!$C$22, $C$13, 100%, $E$13)</f>
        <v>10.423999999999999</v>
      </c>
      <c r="F624" s="61">
        <f>10.424 * CHOOSE(CONTROL!$C$22, $C$13, 100%, $E$13)</f>
        <v>10.423999999999999</v>
      </c>
      <c r="G624" s="61">
        <f>10.4263 * CHOOSE(CONTROL!$C$22, $C$13, 100%, $E$13)</f>
        <v>10.426299999999999</v>
      </c>
      <c r="H624" s="61">
        <f>18.1451* CHOOSE(CONTROL!$C$22, $C$13, 100%, $E$13)</f>
        <v>18.145099999999999</v>
      </c>
      <c r="I624" s="61">
        <f>18.1474 * CHOOSE(CONTROL!$C$22, $C$13, 100%, $E$13)</f>
        <v>18.147400000000001</v>
      </c>
      <c r="J624" s="61">
        <f>10.3579 * CHOOSE(CONTROL!$C$22, $C$13, 100%, $E$13)</f>
        <v>10.357900000000001</v>
      </c>
      <c r="K624" s="61">
        <f>10.4263 * CHOOSE(CONTROL!$C$22, $C$13, 100%, $E$13)</f>
        <v>10.426299999999999</v>
      </c>
    </row>
    <row r="625" spans="1:11" ht="15">
      <c r="A625" s="13">
        <v>60876</v>
      </c>
      <c r="B625" s="60">
        <f>8.9054 * CHOOSE(CONTROL!$C$22, $C$13, 100%, $E$13)</f>
        <v>8.9054000000000002</v>
      </c>
      <c r="C625" s="60">
        <f>8.9054 * CHOOSE(CONTROL!$C$22, $C$13, 100%, $E$13)</f>
        <v>8.9054000000000002</v>
      </c>
      <c r="D625" s="60">
        <f>8.9431 * CHOOSE(CONTROL!$C$22, $C$13, 100%, $E$13)</f>
        <v>8.9430999999999994</v>
      </c>
      <c r="E625" s="61">
        <f>10.4045 * CHOOSE(CONTROL!$C$22, $C$13, 100%, $E$13)</f>
        <v>10.404500000000001</v>
      </c>
      <c r="F625" s="61">
        <f>10.4045 * CHOOSE(CONTROL!$C$22, $C$13, 100%, $E$13)</f>
        <v>10.404500000000001</v>
      </c>
      <c r="G625" s="61">
        <f>10.4068 * CHOOSE(CONTROL!$C$22, $C$13, 100%, $E$13)</f>
        <v>10.4068</v>
      </c>
      <c r="H625" s="61">
        <f>18.1829* CHOOSE(CONTROL!$C$22, $C$13, 100%, $E$13)</f>
        <v>18.1829</v>
      </c>
      <c r="I625" s="61">
        <f>18.1852 * CHOOSE(CONTROL!$C$22, $C$13, 100%, $E$13)</f>
        <v>18.185199999999998</v>
      </c>
      <c r="J625" s="61">
        <f>10.3386 * CHOOSE(CONTROL!$C$22, $C$13, 100%, $E$13)</f>
        <v>10.3386</v>
      </c>
      <c r="K625" s="61">
        <f>10.4068 * CHOOSE(CONTROL!$C$22, $C$13, 100%, $E$13)</f>
        <v>10.4068</v>
      </c>
    </row>
    <row r="626" spans="1:11" ht="15">
      <c r="A626" s="13">
        <v>60906</v>
      </c>
      <c r="B626" s="60">
        <f>8.9192 * CHOOSE(CONTROL!$C$22, $C$13, 100%, $E$13)</f>
        <v>8.9192</v>
      </c>
      <c r="C626" s="60">
        <f>8.9192 * CHOOSE(CONTROL!$C$22, $C$13, 100%, $E$13)</f>
        <v>8.9192</v>
      </c>
      <c r="D626" s="60">
        <f>8.938 * CHOOSE(CONTROL!$C$22, $C$13, 100%, $E$13)</f>
        <v>8.9380000000000006</v>
      </c>
      <c r="E626" s="61">
        <f>10.4605 * CHOOSE(CONTROL!$C$22, $C$13, 100%, $E$13)</f>
        <v>10.4605</v>
      </c>
      <c r="F626" s="61">
        <f>10.4605 * CHOOSE(CONTROL!$C$22, $C$13, 100%, $E$13)</f>
        <v>10.4605</v>
      </c>
      <c r="G626" s="61">
        <f>10.4607 * CHOOSE(CONTROL!$C$22, $C$13, 100%, $E$13)</f>
        <v>10.460699999999999</v>
      </c>
      <c r="H626" s="61">
        <f>18.2208* CHOOSE(CONTROL!$C$22, $C$13, 100%, $E$13)</f>
        <v>18.220800000000001</v>
      </c>
      <c r="I626" s="61">
        <f>18.2209 * CHOOSE(CONTROL!$C$22, $C$13, 100%, $E$13)</f>
        <v>18.2209</v>
      </c>
      <c r="J626" s="61">
        <f>10.394 * CHOOSE(CONTROL!$C$22, $C$13, 100%, $E$13)</f>
        <v>10.394</v>
      </c>
      <c r="K626" s="61">
        <f>10.4607 * CHOOSE(CONTROL!$C$22, $C$13, 100%, $E$13)</f>
        <v>10.460699999999999</v>
      </c>
    </row>
    <row r="627" spans="1:11" ht="15">
      <c r="A627" s="13">
        <v>60937</v>
      </c>
      <c r="B627" s="60">
        <f>8.9222 * CHOOSE(CONTROL!$C$22, $C$13, 100%, $E$13)</f>
        <v>8.9222000000000001</v>
      </c>
      <c r="C627" s="60">
        <f>8.9222 * CHOOSE(CONTROL!$C$22, $C$13, 100%, $E$13)</f>
        <v>8.9222000000000001</v>
      </c>
      <c r="D627" s="60">
        <f>8.941 * CHOOSE(CONTROL!$C$22, $C$13, 100%, $E$13)</f>
        <v>8.9410000000000007</v>
      </c>
      <c r="E627" s="61">
        <f>10.4974 * CHOOSE(CONTROL!$C$22, $C$13, 100%, $E$13)</f>
        <v>10.497400000000001</v>
      </c>
      <c r="F627" s="61">
        <f>10.4974 * CHOOSE(CONTROL!$C$22, $C$13, 100%, $E$13)</f>
        <v>10.497400000000001</v>
      </c>
      <c r="G627" s="61">
        <f>10.4976 * CHOOSE(CONTROL!$C$22, $C$13, 100%, $E$13)</f>
        <v>10.4976</v>
      </c>
      <c r="H627" s="61">
        <f>18.2587* CHOOSE(CONTROL!$C$22, $C$13, 100%, $E$13)</f>
        <v>18.258700000000001</v>
      </c>
      <c r="I627" s="61">
        <f>18.2589 * CHOOSE(CONTROL!$C$22, $C$13, 100%, $E$13)</f>
        <v>18.258900000000001</v>
      </c>
      <c r="J627" s="61">
        <f>10.4306 * CHOOSE(CONTROL!$C$22, $C$13, 100%, $E$13)</f>
        <v>10.4306</v>
      </c>
      <c r="K627" s="61">
        <f>10.4976 * CHOOSE(CONTROL!$C$22, $C$13, 100%, $E$13)</f>
        <v>10.4976</v>
      </c>
    </row>
    <row r="628" spans="1:11" ht="15">
      <c r="A628" s="13">
        <v>60967</v>
      </c>
      <c r="B628" s="60">
        <f>8.9222 * CHOOSE(CONTROL!$C$22, $C$13, 100%, $E$13)</f>
        <v>8.9222000000000001</v>
      </c>
      <c r="C628" s="60">
        <f>8.9222 * CHOOSE(CONTROL!$C$22, $C$13, 100%, $E$13)</f>
        <v>8.9222000000000001</v>
      </c>
      <c r="D628" s="60">
        <f>8.941 * CHOOSE(CONTROL!$C$22, $C$13, 100%, $E$13)</f>
        <v>8.9410000000000007</v>
      </c>
      <c r="E628" s="61">
        <f>10.4106 * CHOOSE(CONTROL!$C$22, $C$13, 100%, $E$13)</f>
        <v>10.410600000000001</v>
      </c>
      <c r="F628" s="61">
        <f>10.4106 * CHOOSE(CONTROL!$C$22, $C$13, 100%, $E$13)</f>
        <v>10.410600000000001</v>
      </c>
      <c r="G628" s="61">
        <f>10.4107 * CHOOSE(CONTROL!$C$22, $C$13, 100%, $E$13)</f>
        <v>10.4107</v>
      </c>
      <c r="H628" s="61">
        <f>18.2967* CHOOSE(CONTROL!$C$22, $C$13, 100%, $E$13)</f>
        <v>18.296700000000001</v>
      </c>
      <c r="I628" s="61">
        <f>18.2969 * CHOOSE(CONTROL!$C$22, $C$13, 100%, $E$13)</f>
        <v>18.296900000000001</v>
      </c>
      <c r="J628" s="61">
        <f>10.3445 * CHOOSE(CONTROL!$C$22, $C$13, 100%, $E$13)</f>
        <v>10.3445</v>
      </c>
      <c r="K628" s="61">
        <f>10.4107 * CHOOSE(CONTROL!$C$22, $C$13, 100%, $E$13)</f>
        <v>10.4107</v>
      </c>
    </row>
    <row r="629" spans="1:11" ht="15">
      <c r="A629" s="13">
        <v>60998</v>
      </c>
      <c r="B629" s="60">
        <f>8.9852 * CHOOSE(CONTROL!$C$22, $C$13, 100%, $E$13)</f>
        <v>8.9852000000000007</v>
      </c>
      <c r="C629" s="60">
        <f>8.9852 * CHOOSE(CONTROL!$C$22, $C$13, 100%, $E$13)</f>
        <v>8.9852000000000007</v>
      </c>
      <c r="D629" s="60">
        <f>9.004 * CHOOSE(CONTROL!$C$22, $C$13, 100%, $E$13)</f>
        <v>9.0039999999999996</v>
      </c>
      <c r="E629" s="61">
        <f>10.5573 * CHOOSE(CONTROL!$C$22, $C$13, 100%, $E$13)</f>
        <v>10.5573</v>
      </c>
      <c r="F629" s="61">
        <f>10.5573 * CHOOSE(CONTROL!$C$22, $C$13, 100%, $E$13)</f>
        <v>10.5573</v>
      </c>
      <c r="G629" s="61">
        <f>10.5575 * CHOOSE(CONTROL!$C$22, $C$13, 100%, $E$13)</f>
        <v>10.557499999999999</v>
      </c>
      <c r="H629" s="61">
        <f>18.2841* CHOOSE(CONTROL!$C$22, $C$13, 100%, $E$13)</f>
        <v>18.284099999999999</v>
      </c>
      <c r="I629" s="61">
        <f>18.2843 * CHOOSE(CONTROL!$C$22, $C$13, 100%, $E$13)</f>
        <v>18.284300000000002</v>
      </c>
      <c r="J629" s="61">
        <f>10.47 * CHOOSE(CONTROL!$C$22, $C$13, 100%, $E$13)</f>
        <v>10.47</v>
      </c>
      <c r="K629" s="61">
        <f>10.5575 * CHOOSE(CONTROL!$C$22, $C$13, 100%, $E$13)</f>
        <v>10.557499999999999</v>
      </c>
    </row>
    <row r="630" spans="1:11" ht="15">
      <c r="A630" s="13">
        <v>61029</v>
      </c>
      <c r="B630" s="60">
        <f>8.9822 * CHOOSE(CONTROL!$C$22, $C$13, 100%, $E$13)</f>
        <v>8.9822000000000006</v>
      </c>
      <c r="C630" s="60">
        <f>8.9822 * CHOOSE(CONTROL!$C$22, $C$13, 100%, $E$13)</f>
        <v>8.9822000000000006</v>
      </c>
      <c r="D630" s="60">
        <f>9.001 * CHOOSE(CONTROL!$C$22, $C$13, 100%, $E$13)</f>
        <v>9.0009999999999994</v>
      </c>
      <c r="E630" s="61">
        <f>10.3862 * CHOOSE(CONTROL!$C$22, $C$13, 100%, $E$13)</f>
        <v>10.386200000000001</v>
      </c>
      <c r="F630" s="61">
        <f>10.3862 * CHOOSE(CONTROL!$C$22, $C$13, 100%, $E$13)</f>
        <v>10.386200000000001</v>
      </c>
      <c r="G630" s="61">
        <f>10.3863 * CHOOSE(CONTROL!$C$22, $C$13, 100%, $E$13)</f>
        <v>10.3863</v>
      </c>
      <c r="H630" s="61">
        <f>18.3222* CHOOSE(CONTROL!$C$22, $C$13, 100%, $E$13)</f>
        <v>18.322199999999999</v>
      </c>
      <c r="I630" s="61">
        <f>18.3224 * CHOOSE(CONTROL!$C$22, $C$13, 100%, $E$13)</f>
        <v>18.322399999999998</v>
      </c>
      <c r="J630" s="61">
        <f>10.3006 * CHOOSE(CONTROL!$C$22, $C$13, 100%, $E$13)</f>
        <v>10.300599999999999</v>
      </c>
      <c r="K630" s="61">
        <f>10.3863 * CHOOSE(CONTROL!$C$22, $C$13, 100%, $E$13)</f>
        <v>10.3863</v>
      </c>
    </row>
    <row r="631" spans="1:11" ht="15">
      <c r="A631" s="13">
        <v>61057</v>
      </c>
      <c r="B631" s="60">
        <f>8.9791 * CHOOSE(CONTROL!$C$22, $C$13, 100%, $E$13)</f>
        <v>8.9791000000000007</v>
      </c>
      <c r="C631" s="60">
        <f>8.9791 * CHOOSE(CONTROL!$C$22, $C$13, 100%, $E$13)</f>
        <v>8.9791000000000007</v>
      </c>
      <c r="D631" s="60">
        <f>8.998 * CHOOSE(CONTROL!$C$22, $C$13, 100%, $E$13)</f>
        <v>8.9979999999999993</v>
      </c>
      <c r="E631" s="61">
        <f>10.5173 * CHOOSE(CONTROL!$C$22, $C$13, 100%, $E$13)</f>
        <v>10.517300000000001</v>
      </c>
      <c r="F631" s="61">
        <f>10.5173 * CHOOSE(CONTROL!$C$22, $C$13, 100%, $E$13)</f>
        <v>10.517300000000001</v>
      </c>
      <c r="G631" s="61">
        <f>10.5174 * CHOOSE(CONTROL!$C$22, $C$13, 100%, $E$13)</f>
        <v>10.5174</v>
      </c>
      <c r="H631" s="61">
        <f>18.3604* CHOOSE(CONTROL!$C$22, $C$13, 100%, $E$13)</f>
        <v>18.360399999999998</v>
      </c>
      <c r="I631" s="61">
        <f>18.3605 * CHOOSE(CONTROL!$C$22, $C$13, 100%, $E$13)</f>
        <v>18.360499999999998</v>
      </c>
      <c r="J631" s="61">
        <f>10.4304 * CHOOSE(CONTROL!$C$22, $C$13, 100%, $E$13)</f>
        <v>10.430400000000001</v>
      </c>
      <c r="K631" s="61">
        <f>10.5174 * CHOOSE(CONTROL!$C$22, $C$13, 100%, $E$13)</f>
        <v>10.5174</v>
      </c>
    </row>
    <row r="632" spans="1:11" ht="15">
      <c r="A632" s="13">
        <v>61088</v>
      </c>
      <c r="B632" s="60">
        <f>8.9817 * CHOOSE(CONTROL!$C$22, $C$13, 100%, $E$13)</f>
        <v>8.9817</v>
      </c>
      <c r="C632" s="60">
        <f>8.9817 * CHOOSE(CONTROL!$C$22, $C$13, 100%, $E$13)</f>
        <v>8.9817</v>
      </c>
      <c r="D632" s="60">
        <f>9.0005 * CHOOSE(CONTROL!$C$22, $C$13, 100%, $E$13)</f>
        <v>9.0005000000000006</v>
      </c>
      <c r="E632" s="61">
        <f>10.6561 * CHOOSE(CONTROL!$C$22, $C$13, 100%, $E$13)</f>
        <v>10.6561</v>
      </c>
      <c r="F632" s="61">
        <f>10.6561 * CHOOSE(CONTROL!$C$22, $C$13, 100%, $E$13)</f>
        <v>10.6561</v>
      </c>
      <c r="G632" s="61">
        <f>10.6563 * CHOOSE(CONTROL!$C$22, $C$13, 100%, $E$13)</f>
        <v>10.6563</v>
      </c>
      <c r="H632" s="61">
        <f>18.3986* CHOOSE(CONTROL!$C$22, $C$13, 100%, $E$13)</f>
        <v>18.398599999999998</v>
      </c>
      <c r="I632" s="61">
        <f>18.3988 * CHOOSE(CONTROL!$C$22, $C$13, 100%, $E$13)</f>
        <v>18.398800000000001</v>
      </c>
      <c r="J632" s="61">
        <f>10.5677 * CHOOSE(CONTROL!$C$22, $C$13, 100%, $E$13)</f>
        <v>10.5677</v>
      </c>
      <c r="K632" s="61">
        <f>10.6563 * CHOOSE(CONTROL!$C$22, $C$13, 100%, $E$13)</f>
        <v>10.6563</v>
      </c>
    </row>
    <row r="633" spans="1:11" ht="15">
      <c r="A633" s="13">
        <v>61118</v>
      </c>
      <c r="B633" s="60">
        <f>8.9817 * CHOOSE(CONTROL!$C$22, $C$13, 100%, $E$13)</f>
        <v>8.9817</v>
      </c>
      <c r="C633" s="60">
        <f>8.9817 * CHOOSE(CONTROL!$C$22, $C$13, 100%, $E$13)</f>
        <v>8.9817</v>
      </c>
      <c r="D633" s="60">
        <f>9.0193 * CHOOSE(CONTROL!$C$22, $C$13, 100%, $E$13)</f>
        <v>9.0192999999999994</v>
      </c>
      <c r="E633" s="61">
        <f>10.7098 * CHOOSE(CONTROL!$C$22, $C$13, 100%, $E$13)</f>
        <v>10.7098</v>
      </c>
      <c r="F633" s="61">
        <f>10.7098 * CHOOSE(CONTROL!$C$22, $C$13, 100%, $E$13)</f>
        <v>10.7098</v>
      </c>
      <c r="G633" s="61">
        <f>10.7121 * CHOOSE(CONTROL!$C$22, $C$13, 100%, $E$13)</f>
        <v>10.7121</v>
      </c>
      <c r="H633" s="61">
        <f>18.4369* CHOOSE(CONTROL!$C$22, $C$13, 100%, $E$13)</f>
        <v>18.436900000000001</v>
      </c>
      <c r="I633" s="61">
        <f>18.4393 * CHOOSE(CONTROL!$C$22, $C$13, 100%, $E$13)</f>
        <v>18.439299999999999</v>
      </c>
      <c r="J633" s="61">
        <f>10.6208 * CHOOSE(CONTROL!$C$22, $C$13, 100%, $E$13)</f>
        <v>10.620799999999999</v>
      </c>
      <c r="K633" s="61">
        <f>10.7121 * CHOOSE(CONTROL!$C$22, $C$13, 100%, $E$13)</f>
        <v>10.7121</v>
      </c>
    </row>
    <row r="634" spans="1:11" ht="15">
      <c r="A634" s="13">
        <v>61149</v>
      </c>
      <c r="B634" s="60">
        <f>8.9878 * CHOOSE(CONTROL!$C$22, $C$13, 100%, $E$13)</f>
        <v>8.9878</v>
      </c>
      <c r="C634" s="60">
        <f>8.9878 * CHOOSE(CONTROL!$C$22, $C$13, 100%, $E$13)</f>
        <v>8.9878</v>
      </c>
      <c r="D634" s="60">
        <f>9.0254 * CHOOSE(CONTROL!$C$22, $C$13, 100%, $E$13)</f>
        <v>9.0253999999999994</v>
      </c>
      <c r="E634" s="61">
        <f>10.6603 * CHOOSE(CONTROL!$C$22, $C$13, 100%, $E$13)</f>
        <v>10.660299999999999</v>
      </c>
      <c r="F634" s="61">
        <f>10.6603 * CHOOSE(CONTROL!$C$22, $C$13, 100%, $E$13)</f>
        <v>10.660299999999999</v>
      </c>
      <c r="G634" s="61">
        <f>10.6627 * CHOOSE(CONTROL!$C$22, $C$13, 100%, $E$13)</f>
        <v>10.662699999999999</v>
      </c>
      <c r="H634" s="61">
        <f>18.4754* CHOOSE(CONTROL!$C$22, $C$13, 100%, $E$13)</f>
        <v>18.4754</v>
      </c>
      <c r="I634" s="61">
        <f>18.4777 * CHOOSE(CONTROL!$C$22, $C$13, 100%, $E$13)</f>
        <v>18.477699999999999</v>
      </c>
      <c r="J634" s="61">
        <f>10.572 * CHOOSE(CONTROL!$C$22, $C$13, 100%, $E$13)</f>
        <v>10.571999999999999</v>
      </c>
      <c r="K634" s="61">
        <f>10.6627 * CHOOSE(CONTROL!$C$22, $C$13, 100%, $E$13)</f>
        <v>10.662699999999999</v>
      </c>
    </row>
    <row r="635" spans="1:11" ht="15">
      <c r="A635" s="13">
        <v>61179</v>
      </c>
      <c r="B635" s="60">
        <f>9.1167 * CHOOSE(CONTROL!$C$22, $C$13, 100%, $E$13)</f>
        <v>9.1166999999999998</v>
      </c>
      <c r="C635" s="60">
        <f>9.1167 * CHOOSE(CONTROL!$C$22, $C$13, 100%, $E$13)</f>
        <v>9.1166999999999998</v>
      </c>
      <c r="D635" s="60">
        <f>9.1543 * CHOOSE(CONTROL!$C$22, $C$13, 100%, $E$13)</f>
        <v>9.1542999999999992</v>
      </c>
      <c r="E635" s="61">
        <f>10.8573 * CHOOSE(CONTROL!$C$22, $C$13, 100%, $E$13)</f>
        <v>10.8573</v>
      </c>
      <c r="F635" s="61">
        <f>10.8573 * CHOOSE(CONTROL!$C$22, $C$13, 100%, $E$13)</f>
        <v>10.8573</v>
      </c>
      <c r="G635" s="61">
        <f>10.8596 * CHOOSE(CONTROL!$C$22, $C$13, 100%, $E$13)</f>
        <v>10.8596</v>
      </c>
      <c r="H635" s="61">
        <f>18.5139* CHOOSE(CONTROL!$C$22, $C$13, 100%, $E$13)</f>
        <v>18.5139</v>
      </c>
      <c r="I635" s="61">
        <f>18.5162 * CHOOSE(CONTROL!$C$22, $C$13, 100%, $E$13)</f>
        <v>18.516200000000001</v>
      </c>
      <c r="J635" s="61">
        <f>10.7674 * CHOOSE(CONTROL!$C$22, $C$13, 100%, $E$13)</f>
        <v>10.7674</v>
      </c>
      <c r="K635" s="61">
        <f>10.8596 * CHOOSE(CONTROL!$C$22, $C$13, 100%, $E$13)</f>
        <v>10.8596</v>
      </c>
    </row>
    <row r="636" spans="1:11" ht="15">
      <c r="A636" s="13">
        <v>61210</v>
      </c>
      <c r="B636" s="60">
        <f>9.1234 * CHOOSE(CONTROL!$C$22, $C$13, 100%, $E$13)</f>
        <v>9.1234000000000002</v>
      </c>
      <c r="C636" s="60">
        <f>9.1234 * CHOOSE(CONTROL!$C$22, $C$13, 100%, $E$13)</f>
        <v>9.1234000000000002</v>
      </c>
      <c r="D636" s="60">
        <f>9.161 * CHOOSE(CONTROL!$C$22, $C$13, 100%, $E$13)</f>
        <v>9.1609999999999996</v>
      </c>
      <c r="E636" s="61">
        <f>10.701 * CHOOSE(CONTROL!$C$22, $C$13, 100%, $E$13)</f>
        <v>10.701000000000001</v>
      </c>
      <c r="F636" s="61">
        <f>10.701 * CHOOSE(CONTROL!$C$22, $C$13, 100%, $E$13)</f>
        <v>10.701000000000001</v>
      </c>
      <c r="G636" s="61">
        <f>10.7033 * CHOOSE(CONTROL!$C$22, $C$13, 100%, $E$13)</f>
        <v>10.7033</v>
      </c>
      <c r="H636" s="61">
        <f>18.5524* CHOOSE(CONTROL!$C$22, $C$13, 100%, $E$13)</f>
        <v>18.552399999999999</v>
      </c>
      <c r="I636" s="61">
        <f>18.5547 * CHOOSE(CONTROL!$C$22, $C$13, 100%, $E$13)</f>
        <v>18.5547</v>
      </c>
      <c r="J636" s="61">
        <f>10.6127 * CHOOSE(CONTROL!$C$22, $C$13, 100%, $E$13)</f>
        <v>10.6127</v>
      </c>
      <c r="K636" s="61">
        <f>10.7033 * CHOOSE(CONTROL!$C$22, $C$13, 100%, $E$13)</f>
        <v>10.7033</v>
      </c>
    </row>
    <row r="637" spans="1:11" ht="15">
      <c r="A637" s="13">
        <v>61241</v>
      </c>
      <c r="B637" s="60">
        <f>9.1204 * CHOOSE(CONTROL!$C$22, $C$13, 100%, $E$13)</f>
        <v>9.1204000000000001</v>
      </c>
      <c r="C637" s="60">
        <f>9.1204 * CHOOSE(CONTROL!$C$22, $C$13, 100%, $E$13)</f>
        <v>9.1204000000000001</v>
      </c>
      <c r="D637" s="60">
        <f>9.158 * CHOOSE(CONTROL!$C$22, $C$13, 100%, $E$13)</f>
        <v>9.1579999999999995</v>
      </c>
      <c r="E637" s="61">
        <f>10.681 * CHOOSE(CONTROL!$C$22, $C$13, 100%, $E$13)</f>
        <v>10.680999999999999</v>
      </c>
      <c r="F637" s="61">
        <f>10.681 * CHOOSE(CONTROL!$C$22, $C$13, 100%, $E$13)</f>
        <v>10.680999999999999</v>
      </c>
      <c r="G637" s="61">
        <f>10.6833 * CHOOSE(CONTROL!$C$22, $C$13, 100%, $E$13)</f>
        <v>10.683299999999999</v>
      </c>
      <c r="H637" s="61">
        <f>18.5911* CHOOSE(CONTROL!$C$22, $C$13, 100%, $E$13)</f>
        <v>18.591100000000001</v>
      </c>
      <c r="I637" s="61">
        <f>18.5934 * CHOOSE(CONTROL!$C$22, $C$13, 100%, $E$13)</f>
        <v>18.593399999999999</v>
      </c>
      <c r="J637" s="61">
        <f>10.5929 * CHOOSE(CONTROL!$C$22, $C$13, 100%, $E$13)</f>
        <v>10.5929</v>
      </c>
      <c r="K637" s="61">
        <f>10.6833 * CHOOSE(CONTROL!$C$22, $C$13, 100%, $E$13)</f>
        <v>10.683299999999999</v>
      </c>
    </row>
    <row r="638" spans="1:11" ht="15">
      <c r="A638" s="13">
        <v>61271</v>
      </c>
      <c r="B638" s="60">
        <f>9.1349 * CHOOSE(CONTROL!$C$22, $C$13, 100%, $E$13)</f>
        <v>9.1349</v>
      </c>
      <c r="C638" s="60">
        <f>9.1349 * CHOOSE(CONTROL!$C$22, $C$13, 100%, $E$13)</f>
        <v>9.1349</v>
      </c>
      <c r="D638" s="60">
        <f>9.1537 * CHOOSE(CONTROL!$C$22, $C$13, 100%, $E$13)</f>
        <v>9.1537000000000006</v>
      </c>
      <c r="E638" s="61">
        <f>10.7391 * CHOOSE(CONTROL!$C$22, $C$13, 100%, $E$13)</f>
        <v>10.739100000000001</v>
      </c>
      <c r="F638" s="61">
        <f>10.7391 * CHOOSE(CONTROL!$C$22, $C$13, 100%, $E$13)</f>
        <v>10.739100000000001</v>
      </c>
      <c r="G638" s="61">
        <f>10.7393 * CHOOSE(CONTROL!$C$22, $C$13, 100%, $E$13)</f>
        <v>10.7393</v>
      </c>
      <c r="H638" s="61">
        <f>18.6298* CHOOSE(CONTROL!$C$22, $C$13, 100%, $E$13)</f>
        <v>18.629799999999999</v>
      </c>
      <c r="I638" s="61">
        <f>18.63 * CHOOSE(CONTROL!$C$22, $C$13, 100%, $E$13)</f>
        <v>18.63</v>
      </c>
      <c r="J638" s="61">
        <f>10.6503 * CHOOSE(CONTROL!$C$22, $C$13, 100%, $E$13)</f>
        <v>10.6503</v>
      </c>
      <c r="K638" s="61">
        <f>10.7393 * CHOOSE(CONTROL!$C$22, $C$13, 100%, $E$13)</f>
        <v>10.7393</v>
      </c>
    </row>
    <row r="639" spans="1:11" ht="15">
      <c r="A639" s="13">
        <v>61302</v>
      </c>
      <c r="B639" s="60">
        <f>9.1379 * CHOOSE(CONTROL!$C$22, $C$13, 100%, $E$13)</f>
        <v>9.1379000000000001</v>
      </c>
      <c r="C639" s="60">
        <f>9.1379 * CHOOSE(CONTROL!$C$22, $C$13, 100%, $E$13)</f>
        <v>9.1379000000000001</v>
      </c>
      <c r="D639" s="60">
        <f>9.1568 * CHOOSE(CONTROL!$C$22, $C$13, 100%, $E$13)</f>
        <v>9.1568000000000005</v>
      </c>
      <c r="E639" s="61">
        <f>10.777 * CHOOSE(CONTROL!$C$22, $C$13, 100%, $E$13)</f>
        <v>10.776999999999999</v>
      </c>
      <c r="F639" s="61">
        <f>10.777 * CHOOSE(CONTROL!$C$22, $C$13, 100%, $E$13)</f>
        <v>10.776999999999999</v>
      </c>
      <c r="G639" s="61">
        <f>10.7772 * CHOOSE(CONTROL!$C$22, $C$13, 100%, $E$13)</f>
        <v>10.777200000000001</v>
      </c>
      <c r="H639" s="61">
        <f>18.6686* CHOOSE(CONTROL!$C$22, $C$13, 100%, $E$13)</f>
        <v>18.668600000000001</v>
      </c>
      <c r="I639" s="61">
        <f>18.6688 * CHOOSE(CONTROL!$C$22, $C$13, 100%, $E$13)</f>
        <v>18.668800000000001</v>
      </c>
      <c r="J639" s="61">
        <f>10.6878 * CHOOSE(CONTROL!$C$22, $C$13, 100%, $E$13)</f>
        <v>10.687799999999999</v>
      </c>
      <c r="K639" s="61">
        <f>10.7772 * CHOOSE(CONTROL!$C$22, $C$13, 100%, $E$13)</f>
        <v>10.777200000000001</v>
      </c>
    </row>
    <row r="640" spans="1:11" ht="15">
      <c r="A640" s="13">
        <v>61332</v>
      </c>
      <c r="B640" s="60">
        <f>9.1379 * CHOOSE(CONTROL!$C$22, $C$13, 100%, $E$13)</f>
        <v>9.1379000000000001</v>
      </c>
      <c r="C640" s="60">
        <f>9.1379 * CHOOSE(CONTROL!$C$22, $C$13, 100%, $E$13)</f>
        <v>9.1379000000000001</v>
      </c>
      <c r="D640" s="60">
        <f>9.1568 * CHOOSE(CONTROL!$C$22, $C$13, 100%, $E$13)</f>
        <v>9.1568000000000005</v>
      </c>
      <c r="E640" s="61">
        <f>10.6876 * CHOOSE(CONTROL!$C$22, $C$13, 100%, $E$13)</f>
        <v>10.6876</v>
      </c>
      <c r="F640" s="61">
        <f>10.6876 * CHOOSE(CONTROL!$C$22, $C$13, 100%, $E$13)</f>
        <v>10.6876</v>
      </c>
      <c r="G640" s="61">
        <f>10.6877 * CHOOSE(CONTROL!$C$22, $C$13, 100%, $E$13)</f>
        <v>10.6877</v>
      </c>
      <c r="H640" s="61">
        <f>18.7075* CHOOSE(CONTROL!$C$22, $C$13, 100%, $E$13)</f>
        <v>18.7075</v>
      </c>
      <c r="I640" s="61">
        <f>18.7077 * CHOOSE(CONTROL!$C$22, $C$13, 100%, $E$13)</f>
        <v>18.707699999999999</v>
      </c>
      <c r="J640" s="61">
        <f>10.5993 * CHOOSE(CONTROL!$C$22, $C$13, 100%, $E$13)</f>
        <v>10.599299999999999</v>
      </c>
      <c r="K640" s="61">
        <f>10.6877 * CHOOSE(CONTROL!$C$22, $C$13, 100%, $E$13)</f>
        <v>10.6877</v>
      </c>
    </row>
    <row r="641" spans="1:11" ht="15">
      <c r="A641" s="13">
        <v>61363</v>
      </c>
      <c r="B641" s="60">
        <f>9.1972 * CHOOSE(CONTROL!$C$22, $C$13, 100%, $E$13)</f>
        <v>9.1972000000000005</v>
      </c>
      <c r="C641" s="60">
        <f>9.1972 * CHOOSE(CONTROL!$C$22, $C$13, 100%, $E$13)</f>
        <v>9.1972000000000005</v>
      </c>
      <c r="D641" s="60">
        <f>9.216 * CHOOSE(CONTROL!$C$22, $C$13, 100%, $E$13)</f>
        <v>9.2159999999999993</v>
      </c>
      <c r="E641" s="61">
        <f>10.831 * CHOOSE(CONTROL!$C$22, $C$13, 100%, $E$13)</f>
        <v>10.831</v>
      </c>
      <c r="F641" s="61">
        <f>10.831 * CHOOSE(CONTROL!$C$22, $C$13, 100%, $E$13)</f>
        <v>10.831</v>
      </c>
      <c r="G641" s="61">
        <f>10.8312 * CHOOSE(CONTROL!$C$22, $C$13, 100%, $E$13)</f>
        <v>10.831200000000001</v>
      </c>
      <c r="H641" s="61">
        <f>18.6856* CHOOSE(CONTROL!$C$22, $C$13, 100%, $E$13)</f>
        <v>18.685600000000001</v>
      </c>
      <c r="I641" s="61">
        <f>18.6857 * CHOOSE(CONTROL!$C$22, $C$13, 100%, $E$13)</f>
        <v>18.685700000000001</v>
      </c>
      <c r="J641" s="61">
        <f>10.7218 * CHOOSE(CONTROL!$C$22, $C$13, 100%, $E$13)</f>
        <v>10.7218</v>
      </c>
      <c r="K641" s="61">
        <f>10.8312 * CHOOSE(CONTROL!$C$22, $C$13, 100%, $E$13)</f>
        <v>10.831200000000001</v>
      </c>
    </row>
    <row r="642" spans="1:11" ht="15">
      <c r="A642" s="13">
        <v>61394</v>
      </c>
      <c r="B642" s="60">
        <f>9.1942 * CHOOSE(CONTROL!$C$22, $C$13, 100%, $E$13)</f>
        <v>9.1942000000000004</v>
      </c>
      <c r="C642" s="60">
        <f>9.1942 * CHOOSE(CONTROL!$C$22, $C$13, 100%, $E$13)</f>
        <v>9.1942000000000004</v>
      </c>
      <c r="D642" s="60">
        <f>9.213 * CHOOSE(CONTROL!$C$22, $C$13, 100%, $E$13)</f>
        <v>9.2129999999999992</v>
      </c>
      <c r="E642" s="61">
        <f>10.655 * CHOOSE(CONTROL!$C$22, $C$13, 100%, $E$13)</f>
        <v>10.654999999999999</v>
      </c>
      <c r="F642" s="61">
        <f>10.655 * CHOOSE(CONTROL!$C$22, $C$13, 100%, $E$13)</f>
        <v>10.654999999999999</v>
      </c>
      <c r="G642" s="61">
        <f>10.6552 * CHOOSE(CONTROL!$C$22, $C$13, 100%, $E$13)</f>
        <v>10.655200000000001</v>
      </c>
      <c r="H642" s="61">
        <f>18.7245* CHOOSE(CONTROL!$C$22, $C$13, 100%, $E$13)</f>
        <v>18.724499999999999</v>
      </c>
      <c r="I642" s="61">
        <f>18.7247 * CHOOSE(CONTROL!$C$22, $C$13, 100%, $E$13)</f>
        <v>18.724699999999999</v>
      </c>
      <c r="J642" s="61">
        <f>10.548 * CHOOSE(CONTROL!$C$22, $C$13, 100%, $E$13)</f>
        <v>10.548</v>
      </c>
      <c r="K642" s="61">
        <f>10.6552 * CHOOSE(CONTROL!$C$22, $C$13, 100%, $E$13)</f>
        <v>10.655200000000001</v>
      </c>
    </row>
    <row r="643" spans="1:11" ht="15">
      <c r="A643" s="13">
        <v>61423</v>
      </c>
      <c r="B643" s="60">
        <f>9.1912 * CHOOSE(CONTROL!$C$22, $C$13, 100%, $E$13)</f>
        <v>9.1912000000000003</v>
      </c>
      <c r="C643" s="60">
        <f>9.1912 * CHOOSE(CONTROL!$C$22, $C$13, 100%, $E$13)</f>
        <v>9.1912000000000003</v>
      </c>
      <c r="D643" s="60">
        <f>9.21 * CHOOSE(CONTROL!$C$22, $C$13, 100%, $E$13)</f>
        <v>9.2100000000000009</v>
      </c>
      <c r="E643" s="61">
        <f>10.79 * CHOOSE(CONTROL!$C$22, $C$13, 100%, $E$13)</f>
        <v>10.79</v>
      </c>
      <c r="F643" s="61">
        <f>10.79 * CHOOSE(CONTROL!$C$22, $C$13, 100%, $E$13)</f>
        <v>10.79</v>
      </c>
      <c r="G643" s="61">
        <f>10.7902 * CHOOSE(CONTROL!$C$22, $C$13, 100%, $E$13)</f>
        <v>10.7902</v>
      </c>
      <c r="H643" s="61">
        <f>18.7635* CHOOSE(CONTROL!$C$22, $C$13, 100%, $E$13)</f>
        <v>18.763500000000001</v>
      </c>
      <c r="I643" s="61">
        <f>18.7637 * CHOOSE(CONTROL!$C$22, $C$13, 100%, $E$13)</f>
        <v>18.7637</v>
      </c>
      <c r="J643" s="61">
        <f>10.6813 * CHOOSE(CONTROL!$C$22, $C$13, 100%, $E$13)</f>
        <v>10.6813</v>
      </c>
      <c r="K643" s="61">
        <f>10.7902 * CHOOSE(CONTROL!$C$22, $C$13, 100%, $E$13)</f>
        <v>10.7902</v>
      </c>
    </row>
    <row r="644" spans="1:11" ht="15">
      <c r="A644" s="13">
        <v>61454</v>
      </c>
      <c r="B644" s="60">
        <f>9.1939 * CHOOSE(CONTROL!$C$22, $C$13, 100%, $E$13)</f>
        <v>9.1938999999999993</v>
      </c>
      <c r="C644" s="60">
        <f>9.1939 * CHOOSE(CONTROL!$C$22, $C$13, 100%, $E$13)</f>
        <v>9.1938999999999993</v>
      </c>
      <c r="D644" s="60">
        <f>9.2128 * CHOOSE(CONTROL!$C$22, $C$13, 100%, $E$13)</f>
        <v>9.2127999999999997</v>
      </c>
      <c r="E644" s="61">
        <f>10.933 * CHOOSE(CONTROL!$C$22, $C$13, 100%, $E$13)</f>
        <v>10.933</v>
      </c>
      <c r="F644" s="61">
        <f>10.933 * CHOOSE(CONTROL!$C$22, $C$13, 100%, $E$13)</f>
        <v>10.933</v>
      </c>
      <c r="G644" s="61">
        <f>10.9332 * CHOOSE(CONTROL!$C$22, $C$13, 100%, $E$13)</f>
        <v>10.933199999999999</v>
      </c>
      <c r="H644" s="61">
        <f>18.8026* CHOOSE(CONTROL!$C$22, $C$13, 100%, $E$13)</f>
        <v>18.802600000000002</v>
      </c>
      <c r="I644" s="61">
        <f>18.8028 * CHOOSE(CONTROL!$C$22, $C$13, 100%, $E$13)</f>
        <v>18.802800000000001</v>
      </c>
      <c r="J644" s="61">
        <f>10.8224 * CHOOSE(CONTROL!$C$22, $C$13, 100%, $E$13)</f>
        <v>10.8224</v>
      </c>
      <c r="K644" s="61">
        <f>10.9332 * CHOOSE(CONTROL!$C$22, $C$13, 100%, $E$13)</f>
        <v>10.933199999999999</v>
      </c>
    </row>
    <row r="645" spans="1:11" ht="15">
      <c r="A645" s="13">
        <v>61484</v>
      </c>
      <c r="B645" s="60">
        <f>9.1939 * CHOOSE(CONTROL!$C$22, $C$13, 100%, $E$13)</f>
        <v>9.1938999999999993</v>
      </c>
      <c r="C645" s="60">
        <f>9.1939 * CHOOSE(CONTROL!$C$22, $C$13, 100%, $E$13)</f>
        <v>9.1938999999999993</v>
      </c>
      <c r="D645" s="60">
        <f>9.2316 * CHOOSE(CONTROL!$C$22, $C$13, 100%, $E$13)</f>
        <v>9.2316000000000003</v>
      </c>
      <c r="E645" s="61">
        <f>10.9882 * CHOOSE(CONTROL!$C$22, $C$13, 100%, $E$13)</f>
        <v>10.988200000000001</v>
      </c>
      <c r="F645" s="61">
        <f>10.9882 * CHOOSE(CONTROL!$C$22, $C$13, 100%, $E$13)</f>
        <v>10.988200000000001</v>
      </c>
      <c r="G645" s="61">
        <f>10.9905 * CHOOSE(CONTROL!$C$22, $C$13, 100%, $E$13)</f>
        <v>10.990500000000001</v>
      </c>
      <c r="H645" s="61">
        <f>18.8418* CHOOSE(CONTROL!$C$22, $C$13, 100%, $E$13)</f>
        <v>18.841799999999999</v>
      </c>
      <c r="I645" s="61">
        <f>18.8441 * CHOOSE(CONTROL!$C$22, $C$13, 100%, $E$13)</f>
        <v>18.844100000000001</v>
      </c>
      <c r="J645" s="61">
        <f>10.8769 * CHOOSE(CONTROL!$C$22, $C$13, 100%, $E$13)</f>
        <v>10.876899999999999</v>
      </c>
      <c r="K645" s="61">
        <f>10.9905 * CHOOSE(CONTROL!$C$22, $C$13, 100%, $E$13)</f>
        <v>10.990500000000001</v>
      </c>
    </row>
    <row r="646" spans="1:11" ht="15">
      <c r="A646" s="13">
        <v>61515</v>
      </c>
      <c r="B646" s="60">
        <f>9.2 * CHOOSE(CONTROL!$C$22, $C$13, 100%, $E$13)</f>
        <v>9.1999999999999993</v>
      </c>
      <c r="C646" s="60">
        <f>9.2 * CHOOSE(CONTROL!$C$22, $C$13, 100%, $E$13)</f>
        <v>9.1999999999999993</v>
      </c>
      <c r="D646" s="60">
        <f>9.2376 * CHOOSE(CONTROL!$C$22, $C$13, 100%, $E$13)</f>
        <v>9.2376000000000005</v>
      </c>
      <c r="E646" s="61">
        <f>10.9372 * CHOOSE(CONTROL!$C$22, $C$13, 100%, $E$13)</f>
        <v>10.937200000000001</v>
      </c>
      <c r="F646" s="61">
        <f>10.9372 * CHOOSE(CONTROL!$C$22, $C$13, 100%, $E$13)</f>
        <v>10.937200000000001</v>
      </c>
      <c r="G646" s="61">
        <f>10.9395 * CHOOSE(CONTROL!$C$22, $C$13, 100%, $E$13)</f>
        <v>10.939500000000001</v>
      </c>
      <c r="H646" s="61">
        <f>18.881* CHOOSE(CONTROL!$C$22, $C$13, 100%, $E$13)</f>
        <v>18.881</v>
      </c>
      <c r="I646" s="61">
        <f>18.8833 * CHOOSE(CONTROL!$C$22, $C$13, 100%, $E$13)</f>
        <v>18.883299999999998</v>
      </c>
      <c r="J646" s="61">
        <f>10.8266 * CHOOSE(CONTROL!$C$22, $C$13, 100%, $E$13)</f>
        <v>10.826599999999999</v>
      </c>
      <c r="K646" s="61">
        <f>10.9395 * CHOOSE(CONTROL!$C$22, $C$13, 100%, $E$13)</f>
        <v>10.939500000000001</v>
      </c>
    </row>
    <row r="647" spans="1:11" ht="15">
      <c r="A647" s="13">
        <v>61545</v>
      </c>
      <c r="B647" s="60">
        <f>9.3316 * CHOOSE(CONTROL!$C$22, $C$13, 100%, $E$13)</f>
        <v>9.3315999999999999</v>
      </c>
      <c r="C647" s="60">
        <f>9.3316 * CHOOSE(CONTROL!$C$22, $C$13, 100%, $E$13)</f>
        <v>9.3315999999999999</v>
      </c>
      <c r="D647" s="60">
        <f>9.3692 * CHOOSE(CONTROL!$C$22, $C$13, 100%, $E$13)</f>
        <v>9.3691999999999993</v>
      </c>
      <c r="E647" s="61">
        <f>11.139 * CHOOSE(CONTROL!$C$22, $C$13, 100%, $E$13)</f>
        <v>11.138999999999999</v>
      </c>
      <c r="F647" s="61">
        <f>11.139 * CHOOSE(CONTROL!$C$22, $C$13, 100%, $E$13)</f>
        <v>11.138999999999999</v>
      </c>
      <c r="G647" s="61">
        <f>11.1413 * CHOOSE(CONTROL!$C$22, $C$13, 100%, $E$13)</f>
        <v>11.141299999999999</v>
      </c>
      <c r="H647" s="61">
        <f>18.9204* CHOOSE(CONTROL!$C$22, $C$13, 100%, $E$13)</f>
        <v>18.920400000000001</v>
      </c>
      <c r="I647" s="61">
        <f>18.9227 * CHOOSE(CONTROL!$C$22, $C$13, 100%, $E$13)</f>
        <v>18.922699999999999</v>
      </c>
      <c r="J647" s="61">
        <f>11.0265 * CHOOSE(CONTROL!$C$22, $C$13, 100%, $E$13)</f>
        <v>11.0265</v>
      </c>
      <c r="K647" s="61">
        <f>11.1413 * CHOOSE(CONTROL!$C$22, $C$13, 100%, $E$13)</f>
        <v>11.141299999999999</v>
      </c>
    </row>
    <row r="648" spans="1:11" ht="15">
      <c r="A648" s="13">
        <v>61576</v>
      </c>
      <c r="B648" s="60">
        <f>9.3383 * CHOOSE(CONTROL!$C$22, $C$13, 100%, $E$13)</f>
        <v>9.3383000000000003</v>
      </c>
      <c r="C648" s="60">
        <f>9.3383 * CHOOSE(CONTROL!$C$22, $C$13, 100%, $E$13)</f>
        <v>9.3383000000000003</v>
      </c>
      <c r="D648" s="60">
        <f>9.3759 * CHOOSE(CONTROL!$C$22, $C$13, 100%, $E$13)</f>
        <v>9.3758999999999997</v>
      </c>
      <c r="E648" s="61">
        <f>10.978 * CHOOSE(CONTROL!$C$22, $C$13, 100%, $E$13)</f>
        <v>10.978</v>
      </c>
      <c r="F648" s="61">
        <f>10.978 * CHOOSE(CONTROL!$C$22, $C$13, 100%, $E$13)</f>
        <v>10.978</v>
      </c>
      <c r="G648" s="61">
        <f>10.9803 * CHOOSE(CONTROL!$C$22, $C$13, 100%, $E$13)</f>
        <v>10.9803</v>
      </c>
      <c r="H648" s="61">
        <f>18.9598* CHOOSE(CONTROL!$C$22, $C$13, 100%, $E$13)</f>
        <v>18.959800000000001</v>
      </c>
      <c r="I648" s="61">
        <f>18.9621 * CHOOSE(CONTROL!$C$22, $C$13, 100%, $E$13)</f>
        <v>18.9621</v>
      </c>
      <c r="J648" s="61">
        <f>10.8676 * CHOOSE(CONTROL!$C$22, $C$13, 100%, $E$13)</f>
        <v>10.867599999999999</v>
      </c>
      <c r="K648" s="61">
        <f>10.9803 * CHOOSE(CONTROL!$C$22, $C$13, 100%, $E$13)</f>
        <v>10.9803</v>
      </c>
    </row>
    <row r="649" spans="1:11" ht="15">
      <c r="A649" s="13">
        <v>61607</v>
      </c>
      <c r="B649" s="60">
        <f>9.3353 * CHOOSE(CONTROL!$C$22, $C$13, 100%, $E$13)</f>
        <v>9.3353000000000002</v>
      </c>
      <c r="C649" s="60">
        <f>9.3353 * CHOOSE(CONTROL!$C$22, $C$13, 100%, $E$13)</f>
        <v>9.3353000000000002</v>
      </c>
      <c r="D649" s="60">
        <f>9.3729 * CHOOSE(CONTROL!$C$22, $C$13, 100%, $E$13)</f>
        <v>9.3728999999999996</v>
      </c>
      <c r="E649" s="61">
        <f>10.9575 * CHOOSE(CONTROL!$C$22, $C$13, 100%, $E$13)</f>
        <v>10.9575</v>
      </c>
      <c r="F649" s="61">
        <f>10.9575 * CHOOSE(CONTROL!$C$22, $C$13, 100%, $E$13)</f>
        <v>10.9575</v>
      </c>
      <c r="G649" s="61">
        <f>10.9598 * CHOOSE(CONTROL!$C$22, $C$13, 100%, $E$13)</f>
        <v>10.9598</v>
      </c>
      <c r="H649" s="61">
        <f>18.9993* CHOOSE(CONTROL!$C$22, $C$13, 100%, $E$13)</f>
        <v>18.999300000000002</v>
      </c>
      <c r="I649" s="61">
        <f>19.0016 * CHOOSE(CONTROL!$C$22, $C$13, 100%, $E$13)</f>
        <v>19.0016</v>
      </c>
      <c r="J649" s="61">
        <f>10.8473 * CHOOSE(CONTROL!$C$22, $C$13, 100%, $E$13)</f>
        <v>10.847300000000001</v>
      </c>
      <c r="K649" s="61">
        <f>10.9598 * CHOOSE(CONTROL!$C$22, $C$13, 100%, $E$13)</f>
        <v>10.9598</v>
      </c>
    </row>
    <row r="650" spans="1:11" ht="15">
      <c r="A650" s="13">
        <v>61637</v>
      </c>
      <c r="B650" s="60">
        <f>9.3506 * CHOOSE(CONTROL!$C$22, $C$13, 100%, $E$13)</f>
        <v>9.3506</v>
      </c>
      <c r="C650" s="60">
        <f>9.3506 * CHOOSE(CONTROL!$C$22, $C$13, 100%, $E$13)</f>
        <v>9.3506</v>
      </c>
      <c r="D650" s="60">
        <f>9.3694 * CHOOSE(CONTROL!$C$22, $C$13, 100%, $E$13)</f>
        <v>9.3694000000000006</v>
      </c>
      <c r="E650" s="61">
        <f>11.0177 * CHOOSE(CONTROL!$C$22, $C$13, 100%, $E$13)</f>
        <v>11.0177</v>
      </c>
      <c r="F650" s="61">
        <f>11.0177 * CHOOSE(CONTROL!$C$22, $C$13, 100%, $E$13)</f>
        <v>11.0177</v>
      </c>
      <c r="G650" s="61">
        <f>11.0178 * CHOOSE(CONTROL!$C$22, $C$13, 100%, $E$13)</f>
        <v>11.017799999999999</v>
      </c>
      <c r="H650" s="61">
        <f>19.0389* CHOOSE(CONTROL!$C$22, $C$13, 100%, $E$13)</f>
        <v>19.038900000000002</v>
      </c>
      <c r="I650" s="61">
        <f>19.039 * CHOOSE(CONTROL!$C$22, $C$13, 100%, $E$13)</f>
        <v>19.039000000000001</v>
      </c>
      <c r="J650" s="61">
        <f>10.9066 * CHOOSE(CONTROL!$C$22, $C$13, 100%, $E$13)</f>
        <v>10.906599999999999</v>
      </c>
      <c r="K650" s="61">
        <f>11.0178 * CHOOSE(CONTROL!$C$22, $C$13, 100%, $E$13)</f>
        <v>11.017799999999999</v>
      </c>
    </row>
    <row r="651" spans="1:11" ht="15">
      <c r="A651" s="13">
        <v>61668</v>
      </c>
      <c r="B651" s="60">
        <f>9.3537 * CHOOSE(CONTROL!$C$22, $C$13, 100%, $E$13)</f>
        <v>9.3536999999999999</v>
      </c>
      <c r="C651" s="60">
        <f>9.3537 * CHOOSE(CONTROL!$C$22, $C$13, 100%, $E$13)</f>
        <v>9.3536999999999999</v>
      </c>
      <c r="D651" s="60">
        <f>9.3725 * CHOOSE(CONTROL!$C$22, $C$13, 100%, $E$13)</f>
        <v>9.3725000000000005</v>
      </c>
      <c r="E651" s="61">
        <f>11.0566 * CHOOSE(CONTROL!$C$22, $C$13, 100%, $E$13)</f>
        <v>11.0566</v>
      </c>
      <c r="F651" s="61">
        <f>11.0566 * CHOOSE(CONTROL!$C$22, $C$13, 100%, $E$13)</f>
        <v>11.0566</v>
      </c>
      <c r="G651" s="61">
        <f>11.0568 * CHOOSE(CONTROL!$C$22, $C$13, 100%, $E$13)</f>
        <v>11.056800000000001</v>
      </c>
      <c r="H651" s="61">
        <f>19.0785* CHOOSE(CONTROL!$C$22, $C$13, 100%, $E$13)</f>
        <v>19.078499999999998</v>
      </c>
      <c r="I651" s="61">
        <f>19.0787 * CHOOSE(CONTROL!$C$22, $C$13, 100%, $E$13)</f>
        <v>19.078700000000001</v>
      </c>
      <c r="J651" s="61">
        <f>10.945 * CHOOSE(CONTROL!$C$22, $C$13, 100%, $E$13)</f>
        <v>10.945</v>
      </c>
      <c r="K651" s="61">
        <f>11.0568 * CHOOSE(CONTROL!$C$22, $C$13, 100%, $E$13)</f>
        <v>11.056800000000001</v>
      </c>
    </row>
    <row r="652" spans="1:11" ht="15">
      <c r="A652" s="13">
        <v>61698</v>
      </c>
      <c r="B652" s="60">
        <f>9.3537 * CHOOSE(CONTROL!$C$22, $C$13, 100%, $E$13)</f>
        <v>9.3536999999999999</v>
      </c>
      <c r="C652" s="60">
        <f>9.3537 * CHOOSE(CONTROL!$C$22, $C$13, 100%, $E$13)</f>
        <v>9.3536999999999999</v>
      </c>
      <c r="D652" s="60">
        <f>9.3725 * CHOOSE(CONTROL!$C$22, $C$13, 100%, $E$13)</f>
        <v>9.3725000000000005</v>
      </c>
      <c r="E652" s="61">
        <f>10.9646 * CHOOSE(CONTROL!$C$22, $C$13, 100%, $E$13)</f>
        <v>10.964600000000001</v>
      </c>
      <c r="F652" s="61">
        <f>10.9646 * CHOOSE(CONTROL!$C$22, $C$13, 100%, $E$13)</f>
        <v>10.964600000000001</v>
      </c>
      <c r="G652" s="61">
        <f>10.9647 * CHOOSE(CONTROL!$C$22, $C$13, 100%, $E$13)</f>
        <v>10.964700000000001</v>
      </c>
      <c r="H652" s="61">
        <f>19.1183* CHOOSE(CONTROL!$C$22, $C$13, 100%, $E$13)</f>
        <v>19.118300000000001</v>
      </c>
      <c r="I652" s="61">
        <f>19.1184 * CHOOSE(CONTROL!$C$22, $C$13, 100%, $E$13)</f>
        <v>19.118400000000001</v>
      </c>
      <c r="J652" s="61">
        <f>10.8542 * CHOOSE(CONTROL!$C$22, $C$13, 100%, $E$13)</f>
        <v>10.854200000000001</v>
      </c>
      <c r="K652" s="61">
        <f>10.9647 * CHOOSE(CONTROL!$C$22, $C$13, 100%, $E$13)</f>
        <v>10.964700000000001</v>
      </c>
    </row>
    <row r="653" spans="1:11" ht="15">
      <c r="A653" s="13">
        <v>61729</v>
      </c>
      <c r="B653" s="60">
        <f>9.4092 * CHOOSE(CONTROL!$C$22, $C$13, 100%, $E$13)</f>
        <v>9.4092000000000002</v>
      </c>
      <c r="C653" s="60">
        <f>9.4092 * CHOOSE(CONTROL!$C$22, $C$13, 100%, $E$13)</f>
        <v>9.4092000000000002</v>
      </c>
      <c r="D653" s="60">
        <f>9.4281 * CHOOSE(CONTROL!$C$22, $C$13, 100%, $E$13)</f>
        <v>9.4281000000000006</v>
      </c>
      <c r="E653" s="61">
        <f>11.1048 * CHOOSE(CONTROL!$C$22, $C$13, 100%, $E$13)</f>
        <v>11.104799999999999</v>
      </c>
      <c r="F653" s="61">
        <f>11.1048 * CHOOSE(CONTROL!$C$22, $C$13, 100%, $E$13)</f>
        <v>11.104799999999999</v>
      </c>
      <c r="G653" s="61">
        <f>11.105 * CHOOSE(CONTROL!$C$22, $C$13, 100%, $E$13)</f>
        <v>11.105</v>
      </c>
      <c r="H653" s="61">
        <f>19.087* CHOOSE(CONTROL!$C$22, $C$13, 100%, $E$13)</f>
        <v>19.087</v>
      </c>
      <c r="I653" s="61">
        <f>19.0872 * CHOOSE(CONTROL!$C$22, $C$13, 100%, $E$13)</f>
        <v>19.087199999999999</v>
      </c>
      <c r="J653" s="61">
        <f>10.9737 * CHOOSE(CONTROL!$C$22, $C$13, 100%, $E$13)</f>
        <v>10.973699999999999</v>
      </c>
      <c r="K653" s="61">
        <f>11.105 * CHOOSE(CONTROL!$C$22, $C$13, 100%, $E$13)</f>
        <v>11.105</v>
      </c>
    </row>
    <row r="654" spans="1:11" ht="15">
      <c r="A654" s="13">
        <v>61760</v>
      </c>
      <c r="B654" s="60">
        <f>9.4062 * CHOOSE(CONTROL!$C$22, $C$13, 100%, $E$13)</f>
        <v>9.4062000000000001</v>
      </c>
      <c r="C654" s="60">
        <f>9.4062 * CHOOSE(CONTROL!$C$22, $C$13, 100%, $E$13)</f>
        <v>9.4062000000000001</v>
      </c>
      <c r="D654" s="60">
        <f>9.425 * CHOOSE(CONTROL!$C$22, $C$13, 100%, $E$13)</f>
        <v>9.4250000000000007</v>
      </c>
      <c r="E654" s="61">
        <f>10.9239 * CHOOSE(CONTROL!$C$22, $C$13, 100%, $E$13)</f>
        <v>10.9239</v>
      </c>
      <c r="F654" s="61">
        <f>10.9239 * CHOOSE(CONTROL!$C$22, $C$13, 100%, $E$13)</f>
        <v>10.9239</v>
      </c>
      <c r="G654" s="61">
        <f>10.924 * CHOOSE(CONTROL!$C$22, $C$13, 100%, $E$13)</f>
        <v>10.923999999999999</v>
      </c>
      <c r="H654" s="61">
        <f>19.1268* CHOOSE(CONTROL!$C$22, $C$13, 100%, $E$13)</f>
        <v>19.126799999999999</v>
      </c>
      <c r="I654" s="61">
        <f>19.127 * CHOOSE(CONTROL!$C$22, $C$13, 100%, $E$13)</f>
        <v>19.126999999999999</v>
      </c>
      <c r="J654" s="61">
        <f>10.7954 * CHOOSE(CONTROL!$C$22, $C$13, 100%, $E$13)</f>
        <v>10.795400000000001</v>
      </c>
      <c r="K654" s="61">
        <f>10.924 * CHOOSE(CONTROL!$C$22, $C$13, 100%, $E$13)</f>
        <v>10.923999999999999</v>
      </c>
    </row>
    <row r="655" spans="1:11" ht="15">
      <c r="A655" s="13">
        <v>61788</v>
      </c>
      <c r="B655" s="60">
        <f>9.4032 * CHOOSE(CONTROL!$C$22, $C$13, 100%, $E$13)</f>
        <v>9.4032</v>
      </c>
      <c r="C655" s="60">
        <f>9.4032 * CHOOSE(CONTROL!$C$22, $C$13, 100%, $E$13)</f>
        <v>9.4032</v>
      </c>
      <c r="D655" s="60">
        <f>9.422 * CHOOSE(CONTROL!$C$22, $C$13, 100%, $E$13)</f>
        <v>9.4220000000000006</v>
      </c>
      <c r="E655" s="61">
        <f>11.0627 * CHOOSE(CONTROL!$C$22, $C$13, 100%, $E$13)</f>
        <v>11.0627</v>
      </c>
      <c r="F655" s="61">
        <f>11.0627 * CHOOSE(CONTROL!$C$22, $C$13, 100%, $E$13)</f>
        <v>11.0627</v>
      </c>
      <c r="G655" s="61">
        <f>11.0629 * CHOOSE(CONTROL!$C$22, $C$13, 100%, $E$13)</f>
        <v>11.062900000000001</v>
      </c>
      <c r="H655" s="61">
        <f>19.1666* CHOOSE(CONTROL!$C$22, $C$13, 100%, $E$13)</f>
        <v>19.166599999999999</v>
      </c>
      <c r="I655" s="61">
        <f>19.1668 * CHOOSE(CONTROL!$C$22, $C$13, 100%, $E$13)</f>
        <v>19.166799999999999</v>
      </c>
      <c r="J655" s="61">
        <f>10.9321 * CHOOSE(CONTROL!$C$22, $C$13, 100%, $E$13)</f>
        <v>10.9321</v>
      </c>
      <c r="K655" s="61">
        <f>11.0629 * CHOOSE(CONTROL!$C$22, $C$13, 100%, $E$13)</f>
        <v>11.062900000000001</v>
      </c>
    </row>
    <row r="656" spans="1:11" ht="15">
      <c r="A656" s="13">
        <v>61819</v>
      </c>
      <c r="B656" s="60">
        <f>9.4062 * CHOOSE(CONTROL!$C$22, $C$13, 100%, $E$13)</f>
        <v>9.4062000000000001</v>
      </c>
      <c r="C656" s="60">
        <f>9.4062 * CHOOSE(CONTROL!$C$22, $C$13, 100%, $E$13)</f>
        <v>9.4062000000000001</v>
      </c>
      <c r="D656" s="60">
        <f>9.425 * CHOOSE(CONTROL!$C$22, $C$13, 100%, $E$13)</f>
        <v>9.4250000000000007</v>
      </c>
      <c r="E656" s="61">
        <f>11.2099 * CHOOSE(CONTROL!$C$22, $C$13, 100%, $E$13)</f>
        <v>11.209899999999999</v>
      </c>
      <c r="F656" s="61">
        <f>11.2099 * CHOOSE(CONTROL!$C$22, $C$13, 100%, $E$13)</f>
        <v>11.209899999999999</v>
      </c>
      <c r="G656" s="61">
        <f>11.21 * CHOOSE(CONTROL!$C$22, $C$13, 100%, $E$13)</f>
        <v>11.21</v>
      </c>
      <c r="H656" s="61">
        <f>19.2066* CHOOSE(CONTROL!$C$22, $C$13, 100%, $E$13)</f>
        <v>19.206600000000002</v>
      </c>
      <c r="I656" s="61">
        <f>19.2068 * CHOOSE(CONTROL!$C$22, $C$13, 100%, $E$13)</f>
        <v>19.206800000000001</v>
      </c>
      <c r="J656" s="61">
        <f>11.0771 * CHOOSE(CONTROL!$C$22, $C$13, 100%, $E$13)</f>
        <v>11.0771</v>
      </c>
      <c r="K656" s="61">
        <f>11.21 * CHOOSE(CONTROL!$C$22, $C$13, 100%, $E$13)</f>
        <v>11.21</v>
      </c>
    </row>
    <row r="657" spans="1:11" ht="15">
      <c r="A657" s="13">
        <v>61849</v>
      </c>
      <c r="B657" s="60">
        <f>9.4062 * CHOOSE(CONTROL!$C$22, $C$13, 100%, $E$13)</f>
        <v>9.4062000000000001</v>
      </c>
      <c r="C657" s="60">
        <f>9.4062 * CHOOSE(CONTROL!$C$22, $C$13, 100%, $E$13)</f>
        <v>9.4062000000000001</v>
      </c>
      <c r="D657" s="60">
        <f>9.4438 * CHOOSE(CONTROL!$C$22, $C$13, 100%, $E$13)</f>
        <v>9.4437999999999995</v>
      </c>
      <c r="E657" s="61">
        <f>11.2666 * CHOOSE(CONTROL!$C$22, $C$13, 100%, $E$13)</f>
        <v>11.2666</v>
      </c>
      <c r="F657" s="61">
        <f>11.2666 * CHOOSE(CONTROL!$C$22, $C$13, 100%, $E$13)</f>
        <v>11.2666</v>
      </c>
      <c r="G657" s="61">
        <f>11.2689 * CHOOSE(CONTROL!$C$22, $C$13, 100%, $E$13)</f>
        <v>11.2689</v>
      </c>
      <c r="H657" s="61">
        <f>19.2466* CHOOSE(CONTROL!$C$22, $C$13, 100%, $E$13)</f>
        <v>19.246600000000001</v>
      </c>
      <c r="I657" s="61">
        <f>19.2489 * CHOOSE(CONTROL!$C$22, $C$13, 100%, $E$13)</f>
        <v>19.248899999999999</v>
      </c>
      <c r="J657" s="61">
        <f>11.133 * CHOOSE(CONTROL!$C$22, $C$13, 100%, $E$13)</f>
        <v>11.132999999999999</v>
      </c>
      <c r="K657" s="61">
        <f>11.2689 * CHOOSE(CONTROL!$C$22, $C$13, 100%, $E$13)</f>
        <v>11.2689</v>
      </c>
    </row>
    <row r="658" spans="1:11" ht="15">
      <c r="A658" s="13">
        <v>61880</v>
      </c>
      <c r="B658" s="60">
        <f>9.4122 * CHOOSE(CONTROL!$C$22, $C$13, 100%, $E$13)</f>
        <v>9.4122000000000003</v>
      </c>
      <c r="C658" s="60">
        <f>9.4122 * CHOOSE(CONTROL!$C$22, $C$13, 100%, $E$13)</f>
        <v>9.4122000000000003</v>
      </c>
      <c r="D658" s="60">
        <f>9.4499 * CHOOSE(CONTROL!$C$22, $C$13, 100%, $E$13)</f>
        <v>9.4498999999999995</v>
      </c>
      <c r="E658" s="61">
        <f>11.2141 * CHOOSE(CONTROL!$C$22, $C$13, 100%, $E$13)</f>
        <v>11.2141</v>
      </c>
      <c r="F658" s="61">
        <f>11.2141 * CHOOSE(CONTROL!$C$22, $C$13, 100%, $E$13)</f>
        <v>11.2141</v>
      </c>
      <c r="G658" s="61">
        <f>11.2164 * CHOOSE(CONTROL!$C$22, $C$13, 100%, $E$13)</f>
        <v>11.2164</v>
      </c>
      <c r="H658" s="61">
        <f>19.2867* CHOOSE(CONTROL!$C$22, $C$13, 100%, $E$13)</f>
        <v>19.2867</v>
      </c>
      <c r="I658" s="61">
        <f>19.289 * CHOOSE(CONTROL!$C$22, $C$13, 100%, $E$13)</f>
        <v>19.289000000000001</v>
      </c>
      <c r="J658" s="61">
        <f>11.0813 * CHOOSE(CONTROL!$C$22, $C$13, 100%, $E$13)</f>
        <v>11.081300000000001</v>
      </c>
      <c r="K658" s="61">
        <f>11.2164 * CHOOSE(CONTROL!$C$22, $C$13, 100%, $E$13)</f>
        <v>11.2164</v>
      </c>
    </row>
    <row r="659" spans="1:11" ht="15">
      <c r="A659" s="13">
        <v>61910</v>
      </c>
      <c r="B659" s="60">
        <f>9.5465 * CHOOSE(CONTROL!$C$22, $C$13, 100%, $E$13)</f>
        <v>9.5465</v>
      </c>
      <c r="C659" s="60">
        <f>9.5465 * CHOOSE(CONTROL!$C$22, $C$13, 100%, $E$13)</f>
        <v>9.5465</v>
      </c>
      <c r="D659" s="60">
        <f>9.5842 * CHOOSE(CONTROL!$C$22, $C$13, 100%, $E$13)</f>
        <v>9.5841999999999992</v>
      </c>
      <c r="E659" s="61">
        <f>11.4206 * CHOOSE(CONTROL!$C$22, $C$13, 100%, $E$13)</f>
        <v>11.4206</v>
      </c>
      <c r="F659" s="61">
        <f>11.4206 * CHOOSE(CONTROL!$C$22, $C$13, 100%, $E$13)</f>
        <v>11.4206</v>
      </c>
      <c r="G659" s="61">
        <f>11.423 * CHOOSE(CONTROL!$C$22, $C$13, 100%, $E$13)</f>
        <v>11.423</v>
      </c>
      <c r="H659" s="61">
        <f>19.3269* CHOOSE(CONTROL!$C$22, $C$13, 100%, $E$13)</f>
        <v>19.326899999999998</v>
      </c>
      <c r="I659" s="61">
        <f>19.3292 * CHOOSE(CONTROL!$C$22, $C$13, 100%, $E$13)</f>
        <v>19.3292</v>
      </c>
      <c r="J659" s="61">
        <f>11.2856 * CHOOSE(CONTROL!$C$22, $C$13, 100%, $E$13)</f>
        <v>11.285600000000001</v>
      </c>
      <c r="K659" s="61">
        <f>11.423 * CHOOSE(CONTROL!$C$22, $C$13, 100%, $E$13)</f>
        <v>11.423</v>
      </c>
    </row>
    <row r="660" spans="1:11" ht="15">
      <c r="A660" s="13">
        <v>61941</v>
      </c>
      <c r="B660" s="60">
        <f>9.5532 * CHOOSE(CONTROL!$C$22, $C$13, 100%, $E$13)</f>
        <v>9.5532000000000004</v>
      </c>
      <c r="C660" s="60">
        <f>9.5532 * CHOOSE(CONTROL!$C$22, $C$13, 100%, $E$13)</f>
        <v>9.5532000000000004</v>
      </c>
      <c r="D660" s="60">
        <f>9.5909 * CHOOSE(CONTROL!$C$22, $C$13, 100%, $E$13)</f>
        <v>9.5908999999999995</v>
      </c>
      <c r="E660" s="61">
        <f>11.255 * CHOOSE(CONTROL!$C$22, $C$13, 100%, $E$13)</f>
        <v>11.255000000000001</v>
      </c>
      <c r="F660" s="61">
        <f>11.255 * CHOOSE(CONTROL!$C$22, $C$13, 100%, $E$13)</f>
        <v>11.255000000000001</v>
      </c>
      <c r="G660" s="61">
        <f>11.2573 * CHOOSE(CONTROL!$C$22, $C$13, 100%, $E$13)</f>
        <v>11.257300000000001</v>
      </c>
      <c r="H660" s="61">
        <f>19.3671* CHOOSE(CONTROL!$C$22, $C$13, 100%, $E$13)</f>
        <v>19.367100000000001</v>
      </c>
      <c r="I660" s="61">
        <f>19.3694 * CHOOSE(CONTROL!$C$22, $C$13, 100%, $E$13)</f>
        <v>19.369399999999999</v>
      </c>
      <c r="J660" s="61">
        <f>11.1224 * CHOOSE(CONTROL!$C$22, $C$13, 100%, $E$13)</f>
        <v>11.122400000000001</v>
      </c>
      <c r="K660" s="61">
        <f>11.2573 * CHOOSE(CONTROL!$C$22, $C$13, 100%, $E$13)</f>
        <v>11.257300000000001</v>
      </c>
    </row>
    <row r="661" spans="1:11" ht="15">
      <c r="A661" s="13">
        <v>61972</v>
      </c>
      <c r="B661" s="60">
        <f>9.5502 * CHOOSE(CONTROL!$C$22, $C$13, 100%, $E$13)</f>
        <v>9.5502000000000002</v>
      </c>
      <c r="C661" s="60">
        <f>9.5502 * CHOOSE(CONTROL!$C$22, $C$13, 100%, $E$13)</f>
        <v>9.5502000000000002</v>
      </c>
      <c r="D661" s="60">
        <f>9.5878 * CHOOSE(CONTROL!$C$22, $C$13, 100%, $E$13)</f>
        <v>9.5877999999999997</v>
      </c>
      <c r="E661" s="61">
        <f>11.234 * CHOOSE(CONTROL!$C$22, $C$13, 100%, $E$13)</f>
        <v>11.234</v>
      </c>
      <c r="F661" s="61">
        <f>11.234 * CHOOSE(CONTROL!$C$22, $C$13, 100%, $E$13)</f>
        <v>11.234</v>
      </c>
      <c r="G661" s="61">
        <f>11.2363 * CHOOSE(CONTROL!$C$22, $C$13, 100%, $E$13)</f>
        <v>11.2363</v>
      </c>
      <c r="H661" s="61">
        <f>19.4075* CHOOSE(CONTROL!$C$22, $C$13, 100%, $E$13)</f>
        <v>19.407499999999999</v>
      </c>
      <c r="I661" s="61">
        <f>19.4098 * CHOOSE(CONTROL!$C$22, $C$13, 100%, $E$13)</f>
        <v>19.409800000000001</v>
      </c>
      <c r="J661" s="61">
        <f>11.1017 * CHOOSE(CONTROL!$C$22, $C$13, 100%, $E$13)</f>
        <v>11.101699999999999</v>
      </c>
      <c r="K661" s="61">
        <f>11.2363 * CHOOSE(CONTROL!$C$22, $C$13, 100%, $E$13)</f>
        <v>11.2363</v>
      </c>
    </row>
    <row r="662" spans="1:11" ht="15">
      <c r="A662" s="13">
        <v>62002</v>
      </c>
      <c r="B662" s="60">
        <f>9.5664 * CHOOSE(CONTROL!$C$22, $C$13, 100%, $E$13)</f>
        <v>9.5663999999999998</v>
      </c>
      <c r="C662" s="60">
        <f>9.5664 * CHOOSE(CONTROL!$C$22, $C$13, 100%, $E$13)</f>
        <v>9.5663999999999998</v>
      </c>
      <c r="D662" s="60">
        <f>9.5852 * CHOOSE(CONTROL!$C$22, $C$13, 100%, $E$13)</f>
        <v>9.5852000000000004</v>
      </c>
      <c r="E662" s="61">
        <f>11.2962 * CHOOSE(CONTROL!$C$22, $C$13, 100%, $E$13)</f>
        <v>11.296200000000001</v>
      </c>
      <c r="F662" s="61">
        <f>11.2962 * CHOOSE(CONTROL!$C$22, $C$13, 100%, $E$13)</f>
        <v>11.296200000000001</v>
      </c>
      <c r="G662" s="61">
        <f>11.2964 * CHOOSE(CONTROL!$C$22, $C$13, 100%, $E$13)</f>
        <v>11.2964</v>
      </c>
      <c r="H662" s="61">
        <f>19.4479* CHOOSE(CONTROL!$C$22, $C$13, 100%, $E$13)</f>
        <v>19.447900000000001</v>
      </c>
      <c r="I662" s="61">
        <f>19.4481 * CHOOSE(CONTROL!$C$22, $C$13, 100%, $E$13)</f>
        <v>19.4481</v>
      </c>
      <c r="J662" s="61">
        <f>11.1628 * CHOOSE(CONTROL!$C$22, $C$13, 100%, $E$13)</f>
        <v>11.162800000000001</v>
      </c>
      <c r="K662" s="61">
        <f>11.2964 * CHOOSE(CONTROL!$C$22, $C$13, 100%, $E$13)</f>
        <v>11.2964</v>
      </c>
    </row>
    <row r="663" spans="1:11" ht="15">
      <c r="A663" s="13">
        <v>62033</v>
      </c>
      <c r="B663" s="60">
        <f>9.5694 * CHOOSE(CONTROL!$C$22, $C$13, 100%, $E$13)</f>
        <v>9.5693999999999999</v>
      </c>
      <c r="C663" s="60">
        <f>9.5694 * CHOOSE(CONTROL!$C$22, $C$13, 100%, $E$13)</f>
        <v>9.5693999999999999</v>
      </c>
      <c r="D663" s="60">
        <f>9.5882 * CHOOSE(CONTROL!$C$22, $C$13, 100%, $E$13)</f>
        <v>9.5882000000000005</v>
      </c>
      <c r="E663" s="61">
        <f>11.3362 * CHOOSE(CONTROL!$C$22, $C$13, 100%, $E$13)</f>
        <v>11.3362</v>
      </c>
      <c r="F663" s="61">
        <f>11.3362 * CHOOSE(CONTROL!$C$22, $C$13, 100%, $E$13)</f>
        <v>11.3362</v>
      </c>
      <c r="G663" s="61">
        <f>11.3364 * CHOOSE(CONTROL!$C$22, $C$13, 100%, $E$13)</f>
        <v>11.336399999999999</v>
      </c>
      <c r="H663" s="61">
        <f>19.4884* CHOOSE(CONTROL!$C$22, $C$13, 100%, $E$13)</f>
        <v>19.488399999999999</v>
      </c>
      <c r="I663" s="61">
        <f>19.4886 * CHOOSE(CONTROL!$C$22, $C$13, 100%, $E$13)</f>
        <v>19.488600000000002</v>
      </c>
      <c r="J663" s="61">
        <f>11.2022 * CHOOSE(CONTROL!$C$22, $C$13, 100%, $E$13)</f>
        <v>11.202199999999999</v>
      </c>
      <c r="K663" s="61">
        <f>11.3364 * CHOOSE(CONTROL!$C$22, $C$13, 100%, $E$13)</f>
        <v>11.336399999999999</v>
      </c>
    </row>
    <row r="664" spans="1:11" ht="15">
      <c r="A664" s="13">
        <v>62063</v>
      </c>
      <c r="B664" s="60">
        <f>9.5694 * CHOOSE(CONTROL!$C$22, $C$13, 100%, $E$13)</f>
        <v>9.5693999999999999</v>
      </c>
      <c r="C664" s="60">
        <f>9.5694 * CHOOSE(CONTROL!$C$22, $C$13, 100%, $E$13)</f>
        <v>9.5693999999999999</v>
      </c>
      <c r="D664" s="60">
        <f>9.5882 * CHOOSE(CONTROL!$C$22, $C$13, 100%, $E$13)</f>
        <v>9.5882000000000005</v>
      </c>
      <c r="E664" s="61">
        <f>11.2416 * CHOOSE(CONTROL!$C$22, $C$13, 100%, $E$13)</f>
        <v>11.2416</v>
      </c>
      <c r="F664" s="61">
        <f>11.2416 * CHOOSE(CONTROL!$C$22, $C$13, 100%, $E$13)</f>
        <v>11.2416</v>
      </c>
      <c r="G664" s="61">
        <f>11.2418 * CHOOSE(CONTROL!$C$22, $C$13, 100%, $E$13)</f>
        <v>11.2418</v>
      </c>
      <c r="H664" s="61">
        <f>19.529* CHOOSE(CONTROL!$C$22, $C$13, 100%, $E$13)</f>
        <v>19.529</v>
      </c>
      <c r="I664" s="61">
        <f>19.5292 * CHOOSE(CONTROL!$C$22, $C$13, 100%, $E$13)</f>
        <v>19.529199999999999</v>
      </c>
      <c r="J664" s="61">
        <f>11.109 * CHOOSE(CONTROL!$C$22, $C$13, 100%, $E$13)</f>
        <v>11.109</v>
      </c>
      <c r="K664" s="61">
        <f>11.2418 * CHOOSE(CONTROL!$C$22, $C$13, 100%, $E$13)</f>
        <v>11.2418</v>
      </c>
    </row>
    <row r="665" spans="1:11" ht="15">
      <c r="A665" s="13">
        <v>62094</v>
      </c>
      <c r="B665" s="60">
        <f>9.6213 * CHOOSE(CONTROL!$C$22, $C$13, 100%, $E$13)</f>
        <v>9.6212999999999997</v>
      </c>
      <c r="C665" s="60">
        <f>9.6213 * CHOOSE(CONTROL!$C$22, $C$13, 100%, $E$13)</f>
        <v>9.6212999999999997</v>
      </c>
      <c r="D665" s="60">
        <f>9.6401 * CHOOSE(CONTROL!$C$22, $C$13, 100%, $E$13)</f>
        <v>9.6401000000000003</v>
      </c>
      <c r="E665" s="61">
        <f>11.3785 * CHOOSE(CONTROL!$C$22, $C$13, 100%, $E$13)</f>
        <v>11.378500000000001</v>
      </c>
      <c r="F665" s="61">
        <f>11.3785 * CHOOSE(CONTROL!$C$22, $C$13, 100%, $E$13)</f>
        <v>11.378500000000001</v>
      </c>
      <c r="G665" s="61">
        <f>11.3787 * CHOOSE(CONTROL!$C$22, $C$13, 100%, $E$13)</f>
        <v>11.3787</v>
      </c>
      <c r="H665" s="61">
        <f>19.4885* CHOOSE(CONTROL!$C$22, $C$13, 100%, $E$13)</f>
        <v>19.488499999999998</v>
      </c>
      <c r="I665" s="61">
        <f>19.4887 * CHOOSE(CONTROL!$C$22, $C$13, 100%, $E$13)</f>
        <v>19.488700000000001</v>
      </c>
      <c r="J665" s="61">
        <f>11.2255 * CHOOSE(CONTROL!$C$22, $C$13, 100%, $E$13)</f>
        <v>11.2255</v>
      </c>
      <c r="K665" s="61">
        <f>11.3787 * CHOOSE(CONTROL!$C$22, $C$13, 100%, $E$13)</f>
        <v>11.3787</v>
      </c>
    </row>
    <row r="666" spans="1:11" ht="15">
      <c r="A666" s="13">
        <v>62125</v>
      </c>
      <c r="B666" s="60">
        <f>9.6182 * CHOOSE(CONTROL!$C$22, $C$13, 100%, $E$13)</f>
        <v>9.6181999999999999</v>
      </c>
      <c r="C666" s="60">
        <f>9.6182 * CHOOSE(CONTROL!$C$22, $C$13, 100%, $E$13)</f>
        <v>9.6181999999999999</v>
      </c>
      <c r="D666" s="60">
        <f>9.637 * CHOOSE(CONTROL!$C$22, $C$13, 100%, $E$13)</f>
        <v>9.6370000000000005</v>
      </c>
      <c r="E666" s="61">
        <f>11.1927 * CHOOSE(CONTROL!$C$22, $C$13, 100%, $E$13)</f>
        <v>11.1927</v>
      </c>
      <c r="F666" s="61">
        <f>11.1927 * CHOOSE(CONTROL!$C$22, $C$13, 100%, $E$13)</f>
        <v>11.1927</v>
      </c>
      <c r="G666" s="61">
        <f>11.1929 * CHOOSE(CONTROL!$C$22, $C$13, 100%, $E$13)</f>
        <v>11.1929</v>
      </c>
      <c r="H666" s="61">
        <f>19.5291* CHOOSE(CONTROL!$C$22, $C$13, 100%, $E$13)</f>
        <v>19.5291</v>
      </c>
      <c r="I666" s="61">
        <f>19.5293 * CHOOSE(CONTROL!$C$22, $C$13, 100%, $E$13)</f>
        <v>19.529299999999999</v>
      </c>
      <c r="J666" s="61">
        <f>11.0428 * CHOOSE(CONTROL!$C$22, $C$13, 100%, $E$13)</f>
        <v>11.0428</v>
      </c>
      <c r="K666" s="61">
        <f>11.1929 * CHOOSE(CONTROL!$C$22, $C$13, 100%, $E$13)</f>
        <v>11.1929</v>
      </c>
    </row>
    <row r="667" spans="1:11" ht="15">
      <c r="A667" s="13">
        <v>62153</v>
      </c>
      <c r="B667" s="60">
        <f>9.6152 * CHOOSE(CONTROL!$C$22, $C$13, 100%, $E$13)</f>
        <v>9.6151999999999997</v>
      </c>
      <c r="C667" s="60">
        <f>9.6152 * CHOOSE(CONTROL!$C$22, $C$13, 100%, $E$13)</f>
        <v>9.6151999999999997</v>
      </c>
      <c r="D667" s="60">
        <f>9.634 * CHOOSE(CONTROL!$C$22, $C$13, 100%, $E$13)</f>
        <v>9.6340000000000003</v>
      </c>
      <c r="E667" s="61">
        <f>11.3354 * CHOOSE(CONTROL!$C$22, $C$13, 100%, $E$13)</f>
        <v>11.3354</v>
      </c>
      <c r="F667" s="61">
        <f>11.3354 * CHOOSE(CONTROL!$C$22, $C$13, 100%, $E$13)</f>
        <v>11.3354</v>
      </c>
      <c r="G667" s="61">
        <f>11.3356 * CHOOSE(CONTROL!$C$22, $C$13, 100%, $E$13)</f>
        <v>11.335599999999999</v>
      </c>
      <c r="H667" s="61">
        <f>19.5698* CHOOSE(CONTROL!$C$22, $C$13, 100%, $E$13)</f>
        <v>19.569800000000001</v>
      </c>
      <c r="I667" s="61">
        <f>19.57 * CHOOSE(CONTROL!$C$22, $C$13, 100%, $E$13)</f>
        <v>19.57</v>
      </c>
      <c r="J667" s="61">
        <f>11.183 * CHOOSE(CONTROL!$C$22, $C$13, 100%, $E$13)</f>
        <v>11.183</v>
      </c>
      <c r="K667" s="61">
        <f>11.3356 * CHOOSE(CONTROL!$C$22, $C$13, 100%, $E$13)</f>
        <v>11.335599999999999</v>
      </c>
    </row>
    <row r="668" spans="1:11" ht="15">
      <c r="A668" s="13">
        <v>62184</v>
      </c>
      <c r="B668" s="60">
        <f>9.6184 * CHOOSE(CONTROL!$C$22, $C$13, 100%, $E$13)</f>
        <v>9.6183999999999994</v>
      </c>
      <c r="C668" s="60">
        <f>9.6184 * CHOOSE(CONTROL!$C$22, $C$13, 100%, $E$13)</f>
        <v>9.6183999999999994</v>
      </c>
      <c r="D668" s="60">
        <f>9.6372 * CHOOSE(CONTROL!$C$22, $C$13, 100%, $E$13)</f>
        <v>9.6372</v>
      </c>
      <c r="E668" s="61">
        <f>11.4867 * CHOOSE(CONTROL!$C$22, $C$13, 100%, $E$13)</f>
        <v>11.486700000000001</v>
      </c>
      <c r="F668" s="61">
        <f>11.4867 * CHOOSE(CONTROL!$C$22, $C$13, 100%, $E$13)</f>
        <v>11.486700000000001</v>
      </c>
      <c r="G668" s="61">
        <f>11.4869 * CHOOSE(CONTROL!$C$22, $C$13, 100%, $E$13)</f>
        <v>11.4869</v>
      </c>
      <c r="H668" s="61">
        <f>19.6106* CHOOSE(CONTROL!$C$22, $C$13, 100%, $E$13)</f>
        <v>19.610600000000002</v>
      </c>
      <c r="I668" s="61">
        <f>19.6107 * CHOOSE(CONTROL!$C$22, $C$13, 100%, $E$13)</f>
        <v>19.610700000000001</v>
      </c>
      <c r="J668" s="61">
        <f>11.3317 * CHOOSE(CONTROL!$C$22, $C$13, 100%, $E$13)</f>
        <v>11.3317</v>
      </c>
      <c r="K668" s="61">
        <f>11.4869 * CHOOSE(CONTROL!$C$22, $C$13, 100%, $E$13)</f>
        <v>11.4869</v>
      </c>
    </row>
    <row r="669" spans="1:11" ht="15">
      <c r="A669" s="13">
        <v>62214</v>
      </c>
      <c r="B669" s="60">
        <f>9.6184 * CHOOSE(CONTROL!$C$22, $C$13, 100%, $E$13)</f>
        <v>9.6183999999999994</v>
      </c>
      <c r="C669" s="60">
        <f>9.6184 * CHOOSE(CONTROL!$C$22, $C$13, 100%, $E$13)</f>
        <v>9.6183999999999994</v>
      </c>
      <c r="D669" s="60">
        <f>9.656 * CHOOSE(CONTROL!$C$22, $C$13, 100%, $E$13)</f>
        <v>9.6560000000000006</v>
      </c>
      <c r="E669" s="61">
        <f>11.5451 * CHOOSE(CONTROL!$C$22, $C$13, 100%, $E$13)</f>
        <v>11.5451</v>
      </c>
      <c r="F669" s="61">
        <f>11.5451 * CHOOSE(CONTROL!$C$22, $C$13, 100%, $E$13)</f>
        <v>11.5451</v>
      </c>
      <c r="G669" s="61">
        <f>11.5474 * CHOOSE(CONTROL!$C$22, $C$13, 100%, $E$13)</f>
        <v>11.5474</v>
      </c>
      <c r="H669" s="61">
        <f>19.6514* CHOOSE(CONTROL!$C$22, $C$13, 100%, $E$13)</f>
        <v>19.651399999999999</v>
      </c>
      <c r="I669" s="61">
        <f>19.6537 * CHOOSE(CONTROL!$C$22, $C$13, 100%, $E$13)</f>
        <v>19.653700000000001</v>
      </c>
      <c r="J669" s="61">
        <f>11.3891 * CHOOSE(CONTROL!$C$22, $C$13, 100%, $E$13)</f>
        <v>11.389099999999999</v>
      </c>
      <c r="K669" s="61">
        <f>11.5474 * CHOOSE(CONTROL!$C$22, $C$13, 100%, $E$13)</f>
        <v>11.5474</v>
      </c>
    </row>
    <row r="670" spans="1:11" ht="15">
      <c r="A670" s="13">
        <v>62245</v>
      </c>
      <c r="B670" s="60">
        <f>9.6245 * CHOOSE(CONTROL!$C$22, $C$13, 100%, $E$13)</f>
        <v>9.6244999999999994</v>
      </c>
      <c r="C670" s="60">
        <f>9.6245 * CHOOSE(CONTROL!$C$22, $C$13, 100%, $E$13)</f>
        <v>9.6244999999999994</v>
      </c>
      <c r="D670" s="60">
        <f>9.6621 * CHOOSE(CONTROL!$C$22, $C$13, 100%, $E$13)</f>
        <v>9.6621000000000006</v>
      </c>
      <c r="E670" s="61">
        <f>11.491 * CHOOSE(CONTROL!$C$22, $C$13, 100%, $E$13)</f>
        <v>11.491</v>
      </c>
      <c r="F670" s="61">
        <f>11.491 * CHOOSE(CONTROL!$C$22, $C$13, 100%, $E$13)</f>
        <v>11.491</v>
      </c>
      <c r="G670" s="61">
        <f>11.4933 * CHOOSE(CONTROL!$C$22, $C$13, 100%, $E$13)</f>
        <v>11.4933</v>
      </c>
      <c r="H670" s="61">
        <f>19.6923* CHOOSE(CONTROL!$C$22, $C$13, 100%, $E$13)</f>
        <v>19.692299999999999</v>
      </c>
      <c r="I670" s="61">
        <f>19.6947 * CHOOSE(CONTROL!$C$22, $C$13, 100%, $E$13)</f>
        <v>19.694700000000001</v>
      </c>
      <c r="J670" s="61">
        <f>11.336 * CHOOSE(CONTROL!$C$22, $C$13, 100%, $E$13)</f>
        <v>11.336</v>
      </c>
      <c r="K670" s="61">
        <f>11.4933 * CHOOSE(CONTROL!$C$22, $C$13, 100%, $E$13)</f>
        <v>11.4933</v>
      </c>
    </row>
    <row r="671" spans="1:11" ht="15">
      <c r="A671" s="13">
        <v>62275</v>
      </c>
      <c r="B671" s="60">
        <f>9.7615 * CHOOSE(CONTROL!$C$22, $C$13, 100%, $E$13)</f>
        <v>9.7614999999999998</v>
      </c>
      <c r="C671" s="60">
        <f>9.7615 * CHOOSE(CONTROL!$C$22, $C$13, 100%, $E$13)</f>
        <v>9.7614999999999998</v>
      </c>
      <c r="D671" s="60">
        <f>9.7991 * CHOOSE(CONTROL!$C$22, $C$13, 100%, $E$13)</f>
        <v>9.7990999999999993</v>
      </c>
      <c r="E671" s="61">
        <f>11.7023 * CHOOSE(CONTROL!$C$22, $C$13, 100%, $E$13)</f>
        <v>11.702299999999999</v>
      </c>
      <c r="F671" s="61">
        <f>11.7023 * CHOOSE(CONTROL!$C$22, $C$13, 100%, $E$13)</f>
        <v>11.702299999999999</v>
      </c>
      <c r="G671" s="61">
        <f>11.7046 * CHOOSE(CONTROL!$C$22, $C$13, 100%, $E$13)</f>
        <v>11.704599999999999</v>
      </c>
      <c r="H671" s="61">
        <f>19.7334* CHOOSE(CONTROL!$C$22, $C$13, 100%, $E$13)</f>
        <v>19.7334</v>
      </c>
      <c r="I671" s="61">
        <f>19.7357 * CHOOSE(CONTROL!$C$22, $C$13, 100%, $E$13)</f>
        <v>19.735700000000001</v>
      </c>
      <c r="J671" s="61">
        <f>11.5447 * CHOOSE(CONTROL!$C$22, $C$13, 100%, $E$13)</f>
        <v>11.544700000000001</v>
      </c>
      <c r="K671" s="61">
        <f>11.7046 * CHOOSE(CONTROL!$C$22, $C$13, 100%, $E$13)</f>
        <v>11.704599999999999</v>
      </c>
    </row>
    <row r="672" spans="1:11" ht="15">
      <c r="A672" s="13">
        <v>62306</v>
      </c>
      <c r="B672" s="60">
        <f>9.7681 * CHOOSE(CONTROL!$C$22, $C$13, 100%, $E$13)</f>
        <v>9.7681000000000004</v>
      </c>
      <c r="C672" s="60">
        <f>9.7681 * CHOOSE(CONTROL!$C$22, $C$13, 100%, $E$13)</f>
        <v>9.7681000000000004</v>
      </c>
      <c r="D672" s="60">
        <f>9.8058 * CHOOSE(CONTROL!$C$22, $C$13, 100%, $E$13)</f>
        <v>9.8057999999999996</v>
      </c>
      <c r="E672" s="61">
        <f>11.532 * CHOOSE(CONTROL!$C$22, $C$13, 100%, $E$13)</f>
        <v>11.532</v>
      </c>
      <c r="F672" s="61">
        <f>11.532 * CHOOSE(CONTROL!$C$22, $C$13, 100%, $E$13)</f>
        <v>11.532</v>
      </c>
      <c r="G672" s="61">
        <f>11.5343 * CHOOSE(CONTROL!$C$22, $C$13, 100%, $E$13)</f>
        <v>11.5343</v>
      </c>
      <c r="H672" s="61">
        <f>19.7745* CHOOSE(CONTROL!$C$22, $C$13, 100%, $E$13)</f>
        <v>19.7745</v>
      </c>
      <c r="I672" s="61">
        <f>19.7768 * CHOOSE(CONTROL!$C$22, $C$13, 100%, $E$13)</f>
        <v>19.776800000000001</v>
      </c>
      <c r="J672" s="61">
        <f>11.3773 * CHOOSE(CONTROL!$C$22, $C$13, 100%, $E$13)</f>
        <v>11.3773</v>
      </c>
      <c r="K672" s="61">
        <f>11.5343 * CHOOSE(CONTROL!$C$22, $C$13, 100%, $E$13)</f>
        <v>11.5343</v>
      </c>
    </row>
    <row r="673" spans="1:11" ht="15">
      <c r="A673" s="13">
        <v>62337</v>
      </c>
      <c r="B673" s="60">
        <f>9.7651 * CHOOSE(CONTROL!$C$22, $C$13, 100%, $E$13)</f>
        <v>9.7651000000000003</v>
      </c>
      <c r="C673" s="60">
        <f>9.7651 * CHOOSE(CONTROL!$C$22, $C$13, 100%, $E$13)</f>
        <v>9.7651000000000003</v>
      </c>
      <c r="D673" s="60">
        <f>9.8027 * CHOOSE(CONTROL!$C$22, $C$13, 100%, $E$13)</f>
        <v>9.8026999999999997</v>
      </c>
      <c r="E673" s="61">
        <f>11.5104 * CHOOSE(CONTROL!$C$22, $C$13, 100%, $E$13)</f>
        <v>11.510400000000001</v>
      </c>
      <c r="F673" s="61">
        <f>11.5104 * CHOOSE(CONTROL!$C$22, $C$13, 100%, $E$13)</f>
        <v>11.510400000000001</v>
      </c>
      <c r="G673" s="61">
        <f>11.5127 * CHOOSE(CONTROL!$C$22, $C$13, 100%, $E$13)</f>
        <v>11.512700000000001</v>
      </c>
      <c r="H673" s="61">
        <f>19.8157* CHOOSE(CONTROL!$C$22, $C$13, 100%, $E$13)</f>
        <v>19.8157</v>
      </c>
      <c r="I673" s="61">
        <f>19.818 * CHOOSE(CONTROL!$C$22, $C$13, 100%, $E$13)</f>
        <v>19.818000000000001</v>
      </c>
      <c r="J673" s="61">
        <f>11.356 * CHOOSE(CONTROL!$C$22, $C$13, 100%, $E$13)</f>
        <v>11.356</v>
      </c>
      <c r="K673" s="61">
        <f>11.5127 * CHOOSE(CONTROL!$C$22, $C$13, 100%, $E$13)</f>
        <v>11.512700000000001</v>
      </c>
    </row>
    <row r="674" spans="1:11" ht="15">
      <c r="A674" s="13">
        <v>62367</v>
      </c>
      <c r="B674" s="60">
        <f>9.7821 * CHOOSE(CONTROL!$C$22, $C$13, 100%, $E$13)</f>
        <v>9.7820999999999998</v>
      </c>
      <c r="C674" s="60">
        <f>9.7821 * CHOOSE(CONTROL!$C$22, $C$13, 100%, $E$13)</f>
        <v>9.7820999999999998</v>
      </c>
      <c r="D674" s="60">
        <f>9.8009 * CHOOSE(CONTROL!$C$22, $C$13, 100%, $E$13)</f>
        <v>9.8009000000000004</v>
      </c>
      <c r="E674" s="61">
        <f>11.5748 * CHOOSE(CONTROL!$C$22, $C$13, 100%, $E$13)</f>
        <v>11.5748</v>
      </c>
      <c r="F674" s="61">
        <f>11.5748 * CHOOSE(CONTROL!$C$22, $C$13, 100%, $E$13)</f>
        <v>11.5748</v>
      </c>
      <c r="G674" s="61">
        <f>11.575 * CHOOSE(CONTROL!$C$22, $C$13, 100%, $E$13)</f>
        <v>11.574999999999999</v>
      </c>
      <c r="H674" s="61">
        <f>19.857* CHOOSE(CONTROL!$C$22, $C$13, 100%, $E$13)</f>
        <v>19.856999999999999</v>
      </c>
      <c r="I674" s="61">
        <f>19.8571 * CHOOSE(CONTROL!$C$22, $C$13, 100%, $E$13)</f>
        <v>19.857099999999999</v>
      </c>
      <c r="J674" s="61">
        <f>11.4191 * CHOOSE(CONTROL!$C$22, $C$13, 100%, $E$13)</f>
        <v>11.4191</v>
      </c>
      <c r="K674" s="61">
        <f>11.575 * CHOOSE(CONTROL!$C$22, $C$13, 100%, $E$13)</f>
        <v>11.574999999999999</v>
      </c>
    </row>
    <row r="675" spans="1:11" ht="15">
      <c r="A675" s="13">
        <v>62398</v>
      </c>
      <c r="B675" s="60">
        <f>9.7851 * CHOOSE(CONTROL!$C$22, $C$13, 100%, $E$13)</f>
        <v>9.7850999999999999</v>
      </c>
      <c r="C675" s="60">
        <f>9.7851 * CHOOSE(CONTROL!$C$22, $C$13, 100%, $E$13)</f>
        <v>9.7850999999999999</v>
      </c>
      <c r="D675" s="60">
        <f>9.8039 * CHOOSE(CONTROL!$C$22, $C$13, 100%, $E$13)</f>
        <v>9.8039000000000005</v>
      </c>
      <c r="E675" s="61">
        <f>11.6158 * CHOOSE(CONTROL!$C$22, $C$13, 100%, $E$13)</f>
        <v>11.6158</v>
      </c>
      <c r="F675" s="61">
        <f>11.6158 * CHOOSE(CONTROL!$C$22, $C$13, 100%, $E$13)</f>
        <v>11.6158</v>
      </c>
      <c r="G675" s="61">
        <f>11.616 * CHOOSE(CONTROL!$C$22, $C$13, 100%, $E$13)</f>
        <v>11.616</v>
      </c>
      <c r="H675" s="61">
        <f>19.8983* CHOOSE(CONTROL!$C$22, $C$13, 100%, $E$13)</f>
        <v>19.898299999999999</v>
      </c>
      <c r="I675" s="61">
        <f>19.8985 * CHOOSE(CONTROL!$C$22, $C$13, 100%, $E$13)</f>
        <v>19.898499999999999</v>
      </c>
      <c r="J675" s="61">
        <f>11.4594 * CHOOSE(CONTROL!$C$22, $C$13, 100%, $E$13)</f>
        <v>11.4594</v>
      </c>
      <c r="K675" s="61">
        <f>11.616 * CHOOSE(CONTROL!$C$22, $C$13, 100%, $E$13)</f>
        <v>11.616</v>
      </c>
    </row>
    <row r="676" spans="1:11" ht="15">
      <c r="A676" s="13">
        <v>62428</v>
      </c>
      <c r="B676" s="60">
        <f>9.7851 * CHOOSE(CONTROL!$C$22, $C$13, 100%, $E$13)</f>
        <v>9.7850999999999999</v>
      </c>
      <c r="C676" s="60">
        <f>9.7851 * CHOOSE(CONTROL!$C$22, $C$13, 100%, $E$13)</f>
        <v>9.7850999999999999</v>
      </c>
      <c r="D676" s="60">
        <f>9.8039 * CHOOSE(CONTROL!$C$22, $C$13, 100%, $E$13)</f>
        <v>9.8039000000000005</v>
      </c>
      <c r="E676" s="61">
        <f>11.5186 * CHOOSE(CONTROL!$C$22, $C$13, 100%, $E$13)</f>
        <v>11.518599999999999</v>
      </c>
      <c r="F676" s="61">
        <f>11.5186 * CHOOSE(CONTROL!$C$22, $C$13, 100%, $E$13)</f>
        <v>11.518599999999999</v>
      </c>
      <c r="G676" s="61">
        <f>11.5188 * CHOOSE(CONTROL!$C$22, $C$13, 100%, $E$13)</f>
        <v>11.518800000000001</v>
      </c>
      <c r="H676" s="61">
        <f>19.9398* CHOOSE(CONTROL!$C$22, $C$13, 100%, $E$13)</f>
        <v>19.939800000000002</v>
      </c>
      <c r="I676" s="61">
        <f>19.94 * CHOOSE(CONTROL!$C$22, $C$13, 100%, $E$13)</f>
        <v>19.940000000000001</v>
      </c>
      <c r="J676" s="61">
        <f>11.3639 * CHOOSE(CONTROL!$C$22, $C$13, 100%, $E$13)</f>
        <v>11.363899999999999</v>
      </c>
      <c r="K676" s="61">
        <f>11.5188 * CHOOSE(CONTROL!$C$22, $C$13, 100%, $E$13)</f>
        <v>11.518800000000001</v>
      </c>
    </row>
    <row r="677" spans="1:11" ht="15">
      <c r="A677" s="13">
        <v>62459</v>
      </c>
      <c r="B677" s="60">
        <f>9.8333 * CHOOSE(CONTROL!$C$22, $C$13, 100%, $E$13)</f>
        <v>9.8332999999999995</v>
      </c>
      <c r="C677" s="60">
        <f>9.8333 * CHOOSE(CONTROL!$C$22, $C$13, 100%, $E$13)</f>
        <v>9.8332999999999995</v>
      </c>
      <c r="D677" s="60">
        <f>9.8521 * CHOOSE(CONTROL!$C$22, $C$13, 100%, $E$13)</f>
        <v>9.8521000000000001</v>
      </c>
      <c r="E677" s="61">
        <f>11.6523 * CHOOSE(CONTROL!$C$22, $C$13, 100%, $E$13)</f>
        <v>11.6523</v>
      </c>
      <c r="F677" s="61">
        <f>11.6523 * CHOOSE(CONTROL!$C$22, $C$13, 100%, $E$13)</f>
        <v>11.6523</v>
      </c>
      <c r="G677" s="61">
        <f>11.6525 * CHOOSE(CONTROL!$C$22, $C$13, 100%, $E$13)</f>
        <v>11.6525</v>
      </c>
      <c r="H677" s="61">
        <f>19.89* CHOOSE(CONTROL!$C$22, $C$13, 100%, $E$13)</f>
        <v>19.89</v>
      </c>
      <c r="I677" s="61">
        <f>19.8901 * CHOOSE(CONTROL!$C$22, $C$13, 100%, $E$13)</f>
        <v>19.8901</v>
      </c>
      <c r="J677" s="61">
        <f>11.4773 * CHOOSE(CONTROL!$C$22, $C$13, 100%, $E$13)</f>
        <v>11.4773</v>
      </c>
      <c r="K677" s="61">
        <f>11.6525 * CHOOSE(CONTROL!$C$22, $C$13, 100%, $E$13)</f>
        <v>11.6525</v>
      </c>
    </row>
    <row r="678" spans="1:11" ht="15">
      <c r="A678" s="13">
        <v>62490</v>
      </c>
      <c r="B678" s="60">
        <f>9.8302 * CHOOSE(CONTROL!$C$22, $C$13, 100%, $E$13)</f>
        <v>9.8301999999999996</v>
      </c>
      <c r="C678" s="60">
        <f>9.8302 * CHOOSE(CONTROL!$C$22, $C$13, 100%, $E$13)</f>
        <v>9.8301999999999996</v>
      </c>
      <c r="D678" s="60">
        <f>9.849 * CHOOSE(CONTROL!$C$22, $C$13, 100%, $E$13)</f>
        <v>9.8490000000000002</v>
      </c>
      <c r="E678" s="61">
        <f>11.4616 * CHOOSE(CONTROL!$C$22, $C$13, 100%, $E$13)</f>
        <v>11.461600000000001</v>
      </c>
      <c r="F678" s="61">
        <f>11.4616 * CHOOSE(CONTROL!$C$22, $C$13, 100%, $E$13)</f>
        <v>11.461600000000001</v>
      </c>
      <c r="G678" s="61">
        <f>11.4617 * CHOOSE(CONTROL!$C$22, $C$13, 100%, $E$13)</f>
        <v>11.4617</v>
      </c>
      <c r="H678" s="61">
        <f>19.9314* CHOOSE(CONTROL!$C$22, $C$13, 100%, $E$13)</f>
        <v>19.9314</v>
      </c>
      <c r="I678" s="61">
        <f>19.9316 * CHOOSE(CONTROL!$C$22, $C$13, 100%, $E$13)</f>
        <v>19.9316</v>
      </c>
      <c r="J678" s="61">
        <f>11.2901 * CHOOSE(CONTROL!$C$22, $C$13, 100%, $E$13)</f>
        <v>11.290100000000001</v>
      </c>
      <c r="K678" s="61">
        <f>11.4617 * CHOOSE(CONTROL!$C$22, $C$13, 100%, $E$13)</f>
        <v>11.4617</v>
      </c>
    </row>
    <row r="679" spans="1:11" ht="15">
      <c r="A679" s="13">
        <v>62518</v>
      </c>
      <c r="B679" s="60">
        <f>9.8272 * CHOOSE(CONTROL!$C$22, $C$13, 100%, $E$13)</f>
        <v>9.8271999999999995</v>
      </c>
      <c r="C679" s="60">
        <f>9.8272 * CHOOSE(CONTROL!$C$22, $C$13, 100%, $E$13)</f>
        <v>9.8271999999999995</v>
      </c>
      <c r="D679" s="60">
        <f>9.846 * CHOOSE(CONTROL!$C$22, $C$13, 100%, $E$13)</f>
        <v>9.8460000000000001</v>
      </c>
      <c r="E679" s="61">
        <f>11.6081 * CHOOSE(CONTROL!$C$22, $C$13, 100%, $E$13)</f>
        <v>11.6081</v>
      </c>
      <c r="F679" s="61">
        <f>11.6081 * CHOOSE(CONTROL!$C$22, $C$13, 100%, $E$13)</f>
        <v>11.6081</v>
      </c>
      <c r="G679" s="61">
        <f>11.6083 * CHOOSE(CONTROL!$C$22, $C$13, 100%, $E$13)</f>
        <v>11.6083</v>
      </c>
      <c r="H679" s="61">
        <f>19.9729* CHOOSE(CONTROL!$C$22, $C$13, 100%, $E$13)</f>
        <v>19.972899999999999</v>
      </c>
      <c r="I679" s="61">
        <f>19.9731 * CHOOSE(CONTROL!$C$22, $C$13, 100%, $E$13)</f>
        <v>19.973099999999999</v>
      </c>
      <c r="J679" s="61">
        <f>11.4339 * CHOOSE(CONTROL!$C$22, $C$13, 100%, $E$13)</f>
        <v>11.4339</v>
      </c>
      <c r="K679" s="61">
        <f>11.6083 * CHOOSE(CONTROL!$C$22, $C$13, 100%, $E$13)</f>
        <v>11.6083</v>
      </c>
    </row>
    <row r="680" spans="1:11" ht="15">
      <c r="A680" s="13">
        <v>62549</v>
      </c>
      <c r="B680" s="60">
        <f>9.8306 * CHOOSE(CONTROL!$C$22, $C$13, 100%, $E$13)</f>
        <v>9.8306000000000004</v>
      </c>
      <c r="C680" s="60">
        <f>9.8306 * CHOOSE(CONTROL!$C$22, $C$13, 100%, $E$13)</f>
        <v>9.8306000000000004</v>
      </c>
      <c r="D680" s="60">
        <f>9.8494 * CHOOSE(CONTROL!$C$22, $C$13, 100%, $E$13)</f>
        <v>9.8493999999999993</v>
      </c>
      <c r="E680" s="61">
        <f>11.7636 * CHOOSE(CONTROL!$C$22, $C$13, 100%, $E$13)</f>
        <v>11.7636</v>
      </c>
      <c r="F680" s="61">
        <f>11.7636 * CHOOSE(CONTROL!$C$22, $C$13, 100%, $E$13)</f>
        <v>11.7636</v>
      </c>
      <c r="G680" s="61">
        <f>11.7638 * CHOOSE(CONTROL!$C$22, $C$13, 100%, $E$13)</f>
        <v>11.7638</v>
      </c>
      <c r="H680" s="61">
        <f>20.0145* CHOOSE(CONTROL!$C$22, $C$13, 100%, $E$13)</f>
        <v>20.014500000000002</v>
      </c>
      <c r="I680" s="61">
        <f>20.0147 * CHOOSE(CONTROL!$C$22, $C$13, 100%, $E$13)</f>
        <v>20.014700000000001</v>
      </c>
      <c r="J680" s="61">
        <f>11.5864 * CHOOSE(CONTROL!$C$22, $C$13, 100%, $E$13)</f>
        <v>11.586399999999999</v>
      </c>
      <c r="K680" s="61">
        <f>11.7638 * CHOOSE(CONTROL!$C$22, $C$13, 100%, $E$13)</f>
        <v>11.7638</v>
      </c>
    </row>
    <row r="681" spans="1:11" ht="15">
      <c r="A681" s="13">
        <v>62579</v>
      </c>
      <c r="B681" s="60">
        <f>9.8306 * CHOOSE(CONTROL!$C$22, $C$13, 100%, $E$13)</f>
        <v>9.8306000000000004</v>
      </c>
      <c r="C681" s="60">
        <f>9.8306 * CHOOSE(CONTROL!$C$22, $C$13, 100%, $E$13)</f>
        <v>9.8306000000000004</v>
      </c>
      <c r="D681" s="60">
        <f>9.8682 * CHOOSE(CONTROL!$C$22, $C$13, 100%, $E$13)</f>
        <v>9.8681999999999999</v>
      </c>
      <c r="E681" s="61">
        <f>11.8235 * CHOOSE(CONTROL!$C$22, $C$13, 100%, $E$13)</f>
        <v>11.823499999999999</v>
      </c>
      <c r="F681" s="61">
        <f>11.8235 * CHOOSE(CONTROL!$C$22, $C$13, 100%, $E$13)</f>
        <v>11.823499999999999</v>
      </c>
      <c r="G681" s="61">
        <f>11.8258 * CHOOSE(CONTROL!$C$22, $C$13, 100%, $E$13)</f>
        <v>11.825799999999999</v>
      </c>
      <c r="H681" s="61">
        <f>20.0562* CHOOSE(CONTROL!$C$22, $C$13, 100%, $E$13)</f>
        <v>20.0562</v>
      </c>
      <c r="I681" s="61">
        <f>20.0585 * CHOOSE(CONTROL!$C$22, $C$13, 100%, $E$13)</f>
        <v>20.058499999999999</v>
      </c>
      <c r="J681" s="61">
        <f>11.6452 * CHOOSE(CONTROL!$C$22, $C$13, 100%, $E$13)</f>
        <v>11.645200000000001</v>
      </c>
      <c r="K681" s="61">
        <f>11.8258 * CHOOSE(CONTROL!$C$22, $C$13, 100%, $E$13)</f>
        <v>11.825799999999999</v>
      </c>
    </row>
    <row r="682" spans="1:11" ht="15">
      <c r="A682" s="13">
        <v>62610</v>
      </c>
      <c r="B682" s="60">
        <f>9.8367 * CHOOSE(CONTROL!$C$22, $C$13, 100%, $E$13)</f>
        <v>9.8367000000000004</v>
      </c>
      <c r="C682" s="60">
        <f>9.8367 * CHOOSE(CONTROL!$C$22, $C$13, 100%, $E$13)</f>
        <v>9.8367000000000004</v>
      </c>
      <c r="D682" s="60">
        <f>9.8743 * CHOOSE(CONTROL!$C$22, $C$13, 100%, $E$13)</f>
        <v>9.8742999999999999</v>
      </c>
      <c r="E682" s="61">
        <f>11.7678 * CHOOSE(CONTROL!$C$22, $C$13, 100%, $E$13)</f>
        <v>11.767799999999999</v>
      </c>
      <c r="F682" s="61">
        <f>11.7678 * CHOOSE(CONTROL!$C$22, $C$13, 100%, $E$13)</f>
        <v>11.767799999999999</v>
      </c>
      <c r="G682" s="61">
        <f>11.7702 * CHOOSE(CONTROL!$C$22, $C$13, 100%, $E$13)</f>
        <v>11.770200000000001</v>
      </c>
      <c r="H682" s="61">
        <f>20.098* CHOOSE(CONTROL!$C$22, $C$13, 100%, $E$13)</f>
        <v>20.097999999999999</v>
      </c>
      <c r="I682" s="61">
        <f>20.1003 * CHOOSE(CONTROL!$C$22, $C$13, 100%, $E$13)</f>
        <v>20.100300000000001</v>
      </c>
      <c r="J682" s="61">
        <f>11.5907 * CHOOSE(CONTROL!$C$22, $C$13, 100%, $E$13)</f>
        <v>11.5907</v>
      </c>
      <c r="K682" s="61">
        <f>11.7702 * CHOOSE(CONTROL!$C$22, $C$13, 100%, $E$13)</f>
        <v>11.770200000000001</v>
      </c>
    </row>
    <row r="683" spans="1:11" ht="15">
      <c r="A683" s="13">
        <v>62640</v>
      </c>
      <c r="B683" s="60">
        <f>9.9764 * CHOOSE(CONTROL!$C$22, $C$13, 100%, $E$13)</f>
        <v>9.9763999999999999</v>
      </c>
      <c r="C683" s="60">
        <f>9.9764 * CHOOSE(CONTROL!$C$22, $C$13, 100%, $E$13)</f>
        <v>9.9763999999999999</v>
      </c>
      <c r="D683" s="60">
        <f>10.014 * CHOOSE(CONTROL!$C$22, $C$13, 100%, $E$13)</f>
        <v>10.013999999999999</v>
      </c>
      <c r="E683" s="61">
        <f>11.984 * CHOOSE(CONTROL!$C$22, $C$13, 100%, $E$13)</f>
        <v>11.984</v>
      </c>
      <c r="F683" s="61">
        <f>11.984 * CHOOSE(CONTROL!$C$22, $C$13, 100%, $E$13)</f>
        <v>11.984</v>
      </c>
      <c r="G683" s="61">
        <f>11.9863 * CHOOSE(CONTROL!$C$22, $C$13, 100%, $E$13)</f>
        <v>11.9863</v>
      </c>
      <c r="H683" s="61">
        <f>20.1399* CHOOSE(CONTROL!$C$22, $C$13, 100%, $E$13)</f>
        <v>20.139900000000001</v>
      </c>
      <c r="I683" s="61">
        <f>20.1422 * CHOOSE(CONTROL!$C$22, $C$13, 100%, $E$13)</f>
        <v>20.142199999999999</v>
      </c>
      <c r="J683" s="61">
        <f>11.8038 * CHOOSE(CONTROL!$C$22, $C$13, 100%, $E$13)</f>
        <v>11.803800000000001</v>
      </c>
      <c r="K683" s="61">
        <f>11.9863 * CHOOSE(CONTROL!$C$22, $C$13, 100%, $E$13)</f>
        <v>11.9863</v>
      </c>
    </row>
    <row r="684" spans="1:11" ht="15">
      <c r="A684" s="13">
        <v>62671</v>
      </c>
      <c r="B684" s="60">
        <f>9.9831 * CHOOSE(CONTROL!$C$22, $C$13, 100%, $E$13)</f>
        <v>9.9831000000000003</v>
      </c>
      <c r="C684" s="60">
        <f>9.9831 * CHOOSE(CONTROL!$C$22, $C$13, 100%, $E$13)</f>
        <v>9.9831000000000003</v>
      </c>
      <c r="D684" s="60">
        <f>10.0207 * CHOOSE(CONTROL!$C$22, $C$13, 100%, $E$13)</f>
        <v>10.0207</v>
      </c>
      <c r="E684" s="61">
        <f>11.809 * CHOOSE(CONTROL!$C$22, $C$13, 100%, $E$13)</f>
        <v>11.808999999999999</v>
      </c>
      <c r="F684" s="61">
        <f>11.809 * CHOOSE(CONTROL!$C$22, $C$13, 100%, $E$13)</f>
        <v>11.808999999999999</v>
      </c>
      <c r="G684" s="61">
        <f>11.8113 * CHOOSE(CONTROL!$C$22, $C$13, 100%, $E$13)</f>
        <v>11.811299999999999</v>
      </c>
      <c r="H684" s="61">
        <f>20.1818* CHOOSE(CONTROL!$C$22, $C$13, 100%, $E$13)</f>
        <v>20.181799999999999</v>
      </c>
      <c r="I684" s="61">
        <f>20.1842 * CHOOSE(CONTROL!$C$22, $C$13, 100%, $E$13)</f>
        <v>20.184200000000001</v>
      </c>
      <c r="J684" s="61">
        <f>11.6321 * CHOOSE(CONTROL!$C$22, $C$13, 100%, $E$13)</f>
        <v>11.632099999999999</v>
      </c>
      <c r="K684" s="61">
        <f>11.8113 * CHOOSE(CONTROL!$C$22, $C$13, 100%, $E$13)</f>
        <v>11.811299999999999</v>
      </c>
    </row>
    <row r="685" spans="1:11" ht="15">
      <c r="A685" s="13">
        <v>62702</v>
      </c>
      <c r="B685" s="60">
        <f>9.98 * CHOOSE(CONTROL!$C$22, $C$13, 100%, $E$13)</f>
        <v>9.98</v>
      </c>
      <c r="C685" s="60">
        <f>9.98 * CHOOSE(CONTROL!$C$22, $C$13, 100%, $E$13)</f>
        <v>9.98</v>
      </c>
      <c r="D685" s="60">
        <f>10.0176 * CHOOSE(CONTROL!$C$22, $C$13, 100%, $E$13)</f>
        <v>10.0176</v>
      </c>
      <c r="E685" s="61">
        <f>11.7869 * CHOOSE(CONTROL!$C$22, $C$13, 100%, $E$13)</f>
        <v>11.786899999999999</v>
      </c>
      <c r="F685" s="61">
        <f>11.7869 * CHOOSE(CONTROL!$C$22, $C$13, 100%, $E$13)</f>
        <v>11.786899999999999</v>
      </c>
      <c r="G685" s="61">
        <f>11.7892 * CHOOSE(CONTROL!$C$22, $C$13, 100%, $E$13)</f>
        <v>11.789199999999999</v>
      </c>
      <c r="H685" s="61">
        <f>20.2239* CHOOSE(CONTROL!$C$22, $C$13, 100%, $E$13)</f>
        <v>20.2239</v>
      </c>
      <c r="I685" s="61">
        <f>20.2262 * CHOOSE(CONTROL!$C$22, $C$13, 100%, $E$13)</f>
        <v>20.226199999999999</v>
      </c>
      <c r="J685" s="61">
        <f>11.6104 * CHOOSE(CONTROL!$C$22, $C$13, 100%, $E$13)</f>
        <v>11.6104</v>
      </c>
      <c r="K685" s="61">
        <f>11.7892 * CHOOSE(CONTROL!$C$22, $C$13, 100%, $E$13)</f>
        <v>11.789199999999999</v>
      </c>
    </row>
    <row r="686" spans="1:11" ht="15">
      <c r="A686" s="13">
        <v>62732</v>
      </c>
      <c r="B686" s="60">
        <f>9.9978 * CHOOSE(CONTROL!$C$22, $C$13, 100%, $E$13)</f>
        <v>9.9977999999999998</v>
      </c>
      <c r="C686" s="60">
        <f>9.9978 * CHOOSE(CONTROL!$C$22, $C$13, 100%, $E$13)</f>
        <v>9.9977999999999998</v>
      </c>
      <c r="D686" s="60">
        <f>10.0166 * CHOOSE(CONTROL!$C$22, $C$13, 100%, $E$13)</f>
        <v>10.0166</v>
      </c>
      <c r="E686" s="61">
        <f>11.8534 * CHOOSE(CONTROL!$C$22, $C$13, 100%, $E$13)</f>
        <v>11.853400000000001</v>
      </c>
      <c r="F686" s="61">
        <f>11.8534 * CHOOSE(CONTROL!$C$22, $C$13, 100%, $E$13)</f>
        <v>11.853400000000001</v>
      </c>
      <c r="G686" s="61">
        <f>11.8535 * CHOOSE(CONTROL!$C$22, $C$13, 100%, $E$13)</f>
        <v>11.8535</v>
      </c>
      <c r="H686" s="61">
        <f>20.266* CHOOSE(CONTROL!$C$22, $C$13, 100%, $E$13)</f>
        <v>20.265999999999998</v>
      </c>
      <c r="I686" s="61">
        <f>20.2662 * CHOOSE(CONTROL!$C$22, $C$13, 100%, $E$13)</f>
        <v>20.266200000000001</v>
      </c>
      <c r="J686" s="61">
        <f>11.6754 * CHOOSE(CONTROL!$C$22, $C$13, 100%, $E$13)</f>
        <v>11.6754</v>
      </c>
      <c r="K686" s="61">
        <f>11.8535 * CHOOSE(CONTROL!$C$22, $C$13, 100%, $E$13)</f>
        <v>11.8535</v>
      </c>
    </row>
    <row r="687" spans="1:11" ht="15">
      <c r="A687" s="13">
        <v>62763</v>
      </c>
      <c r="B687" s="60">
        <f>10.0009 * CHOOSE(CONTROL!$C$22, $C$13, 100%, $E$13)</f>
        <v>10.0009</v>
      </c>
      <c r="C687" s="60">
        <f>10.0009 * CHOOSE(CONTROL!$C$22, $C$13, 100%, $E$13)</f>
        <v>10.0009</v>
      </c>
      <c r="D687" s="60">
        <f>10.0197 * CHOOSE(CONTROL!$C$22, $C$13, 100%, $E$13)</f>
        <v>10.0197</v>
      </c>
      <c r="E687" s="61">
        <f>11.8954 * CHOOSE(CONTROL!$C$22, $C$13, 100%, $E$13)</f>
        <v>11.8954</v>
      </c>
      <c r="F687" s="61">
        <f>11.8954 * CHOOSE(CONTROL!$C$22, $C$13, 100%, $E$13)</f>
        <v>11.8954</v>
      </c>
      <c r="G687" s="61">
        <f>11.8956 * CHOOSE(CONTROL!$C$22, $C$13, 100%, $E$13)</f>
        <v>11.8956</v>
      </c>
      <c r="H687" s="61">
        <f>20.3082* CHOOSE(CONTROL!$C$22, $C$13, 100%, $E$13)</f>
        <v>20.308199999999999</v>
      </c>
      <c r="I687" s="61">
        <f>20.3084 * CHOOSE(CONTROL!$C$22, $C$13, 100%, $E$13)</f>
        <v>20.308399999999999</v>
      </c>
      <c r="J687" s="61">
        <f>11.7167 * CHOOSE(CONTROL!$C$22, $C$13, 100%, $E$13)</f>
        <v>11.716699999999999</v>
      </c>
      <c r="K687" s="61">
        <f>11.8956 * CHOOSE(CONTROL!$C$22, $C$13, 100%, $E$13)</f>
        <v>11.8956</v>
      </c>
    </row>
    <row r="688" spans="1:11" ht="15">
      <c r="A688" s="13">
        <v>62793</v>
      </c>
      <c r="B688" s="60">
        <f>10.0009 * CHOOSE(CONTROL!$C$22, $C$13, 100%, $E$13)</f>
        <v>10.0009</v>
      </c>
      <c r="C688" s="60">
        <f>10.0009 * CHOOSE(CONTROL!$C$22, $C$13, 100%, $E$13)</f>
        <v>10.0009</v>
      </c>
      <c r="D688" s="60">
        <f>10.0197 * CHOOSE(CONTROL!$C$22, $C$13, 100%, $E$13)</f>
        <v>10.0197</v>
      </c>
      <c r="E688" s="61">
        <f>11.7956 * CHOOSE(CONTROL!$C$22, $C$13, 100%, $E$13)</f>
        <v>11.7956</v>
      </c>
      <c r="F688" s="61">
        <f>11.7956 * CHOOSE(CONTROL!$C$22, $C$13, 100%, $E$13)</f>
        <v>11.7956</v>
      </c>
      <c r="G688" s="61">
        <f>11.7958 * CHOOSE(CONTROL!$C$22, $C$13, 100%, $E$13)</f>
        <v>11.7958</v>
      </c>
      <c r="H688" s="61">
        <f>20.3505* CHOOSE(CONTROL!$C$22, $C$13, 100%, $E$13)</f>
        <v>20.3505</v>
      </c>
      <c r="I688" s="61">
        <f>20.3507 * CHOOSE(CONTROL!$C$22, $C$13, 100%, $E$13)</f>
        <v>20.3507</v>
      </c>
      <c r="J688" s="61">
        <f>11.6187 * CHOOSE(CONTROL!$C$22, $C$13, 100%, $E$13)</f>
        <v>11.6187</v>
      </c>
      <c r="K688" s="61">
        <f>11.7958 * CHOOSE(CONTROL!$C$22, $C$13, 100%, $E$13)</f>
        <v>11.7958</v>
      </c>
    </row>
    <row r="689" spans="1:11" ht="15">
      <c r="A689" s="13">
        <v>62824</v>
      </c>
      <c r="B689" s="60">
        <f>10.0453 * CHOOSE(CONTROL!$C$22, $C$13, 100%, $E$13)</f>
        <v>10.045299999999999</v>
      </c>
      <c r="C689" s="60">
        <f>10.0453 * CHOOSE(CONTROL!$C$22, $C$13, 100%, $E$13)</f>
        <v>10.045299999999999</v>
      </c>
      <c r="D689" s="60">
        <f>10.0641 * CHOOSE(CONTROL!$C$22, $C$13, 100%, $E$13)</f>
        <v>10.0641</v>
      </c>
      <c r="E689" s="61">
        <f>11.9261 * CHOOSE(CONTROL!$C$22, $C$13, 100%, $E$13)</f>
        <v>11.9261</v>
      </c>
      <c r="F689" s="61">
        <f>11.9261 * CHOOSE(CONTROL!$C$22, $C$13, 100%, $E$13)</f>
        <v>11.9261</v>
      </c>
      <c r="G689" s="61">
        <f>11.9262 * CHOOSE(CONTROL!$C$22, $C$13, 100%, $E$13)</f>
        <v>11.9262</v>
      </c>
      <c r="H689" s="61">
        <f>20.2914* CHOOSE(CONTROL!$C$22, $C$13, 100%, $E$13)</f>
        <v>20.291399999999999</v>
      </c>
      <c r="I689" s="61">
        <f>20.2916 * CHOOSE(CONTROL!$C$22, $C$13, 100%, $E$13)</f>
        <v>20.291599999999999</v>
      </c>
      <c r="J689" s="61">
        <f>11.7292 * CHOOSE(CONTROL!$C$22, $C$13, 100%, $E$13)</f>
        <v>11.729200000000001</v>
      </c>
      <c r="K689" s="61">
        <f>11.9262 * CHOOSE(CONTROL!$C$22, $C$13, 100%, $E$13)</f>
        <v>11.9262</v>
      </c>
    </row>
    <row r="690" spans="1:11" ht="15">
      <c r="A690" s="13">
        <v>62855</v>
      </c>
      <c r="B690" s="60">
        <f>10.0422 * CHOOSE(CONTROL!$C$22, $C$13, 100%, $E$13)</f>
        <v>10.042199999999999</v>
      </c>
      <c r="C690" s="60">
        <f>10.0422 * CHOOSE(CONTROL!$C$22, $C$13, 100%, $E$13)</f>
        <v>10.042199999999999</v>
      </c>
      <c r="D690" s="60">
        <f>10.061 * CHOOSE(CONTROL!$C$22, $C$13, 100%, $E$13)</f>
        <v>10.061</v>
      </c>
      <c r="E690" s="61">
        <f>11.7304 * CHOOSE(CONTROL!$C$22, $C$13, 100%, $E$13)</f>
        <v>11.730399999999999</v>
      </c>
      <c r="F690" s="61">
        <f>11.7304 * CHOOSE(CONTROL!$C$22, $C$13, 100%, $E$13)</f>
        <v>11.730399999999999</v>
      </c>
      <c r="G690" s="61">
        <f>11.7306 * CHOOSE(CONTROL!$C$22, $C$13, 100%, $E$13)</f>
        <v>11.730600000000001</v>
      </c>
      <c r="H690" s="61">
        <f>20.3337* CHOOSE(CONTROL!$C$22, $C$13, 100%, $E$13)</f>
        <v>20.3337</v>
      </c>
      <c r="I690" s="61">
        <f>20.3339 * CHOOSE(CONTROL!$C$22, $C$13, 100%, $E$13)</f>
        <v>20.3339</v>
      </c>
      <c r="J690" s="61">
        <f>11.5375 * CHOOSE(CONTROL!$C$22, $C$13, 100%, $E$13)</f>
        <v>11.5375</v>
      </c>
      <c r="K690" s="61">
        <f>11.7306 * CHOOSE(CONTROL!$C$22, $C$13, 100%, $E$13)</f>
        <v>11.730600000000001</v>
      </c>
    </row>
    <row r="691" spans="1:11" ht="15">
      <c r="A691" s="13">
        <v>62884</v>
      </c>
      <c r="B691" s="60">
        <f>10.0392 * CHOOSE(CONTROL!$C$22, $C$13, 100%, $E$13)</f>
        <v>10.039199999999999</v>
      </c>
      <c r="C691" s="60">
        <f>10.0392 * CHOOSE(CONTROL!$C$22, $C$13, 100%, $E$13)</f>
        <v>10.039199999999999</v>
      </c>
      <c r="D691" s="60">
        <f>10.058 * CHOOSE(CONTROL!$C$22, $C$13, 100%, $E$13)</f>
        <v>10.058</v>
      </c>
      <c r="E691" s="61">
        <f>11.8809 * CHOOSE(CONTROL!$C$22, $C$13, 100%, $E$13)</f>
        <v>11.8809</v>
      </c>
      <c r="F691" s="61">
        <f>11.8809 * CHOOSE(CONTROL!$C$22, $C$13, 100%, $E$13)</f>
        <v>11.8809</v>
      </c>
      <c r="G691" s="61">
        <f>11.881 * CHOOSE(CONTROL!$C$22, $C$13, 100%, $E$13)</f>
        <v>11.881</v>
      </c>
      <c r="H691" s="61">
        <f>20.3761* CHOOSE(CONTROL!$C$22, $C$13, 100%, $E$13)</f>
        <v>20.376100000000001</v>
      </c>
      <c r="I691" s="61">
        <f>20.3762 * CHOOSE(CONTROL!$C$22, $C$13, 100%, $E$13)</f>
        <v>20.376200000000001</v>
      </c>
      <c r="J691" s="61">
        <f>11.6848 * CHOOSE(CONTROL!$C$22, $C$13, 100%, $E$13)</f>
        <v>11.684799999999999</v>
      </c>
      <c r="K691" s="61">
        <f>11.881 * CHOOSE(CONTROL!$C$22, $C$13, 100%, $E$13)</f>
        <v>11.881</v>
      </c>
    </row>
    <row r="692" spans="1:11" ht="15">
      <c r="A692" s="13">
        <v>62915</v>
      </c>
      <c r="B692" s="60">
        <f>10.0428 * CHOOSE(CONTROL!$C$22, $C$13, 100%, $E$13)</f>
        <v>10.0428</v>
      </c>
      <c r="C692" s="60">
        <f>10.0428 * CHOOSE(CONTROL!$C$22, $C$13, 100%, $E$13)</f>
        <v>10.0428</v>
      </c>
      <c r="D692" s="60">
        <f>10.0616 * CHOOSE(CONTROL!$C$22, $C$13, 100%, $E$13)</f>
        <v>10.0616</v>
      </c>
      <c r="E692" s="61">
        <f>12.0405 * CHOOSE(CONTROL!$C$22, $C$13, 100%, $E$13)</f>
        <v>12.0405</v>
      </c>
      <c r="F692" s="61">
        <f>12.0405 * CHOOSE(CONTROL!$C$22, $C$13, 100%, $E$13)</f>
        <v>12.0405</v>
      </c>
      <c r="G692" s="61">
        <f>12.0407 * CHOOSE(CONTROL!$C$22, $C$13, 100%, $E$13)</f>
        <v>12.040699999999999</v>
      </c>
      <c r="H692" s="61">
        <f>20.4185* CHOOSE(CONTROL!$C$22, $C$13, 100%, $E$13)</f>
        <v>20.418500000000002</v>
      </c>
      <c r="I692" s="61">
        <f>20.4187 * CHOOSE(CONTROL!$C$22, $C$13, 100%, $E$13)</f>
        <v>20.418700000000001</v>
      </c>
      <c r="J692" s="61">
        <f>11.8411 * CHOOSE(CONTROL!$C$22, $C$13, 100%, $E$13)</f>
        <v>11.841100000000001</v>
      </c>
      <c r="K692" s="61">
        <f>12.0407 * CHOOSE(CONTROL!$C$22, $C$13, 100%, $E$13)</f>
        <v>12.040699999999999</v>
      </c>
    </row>
    <row r="693" spans="1:11" ht="15">
      <c r="A693" s="13">
        <v>62945</v>
      </c>
      <c r="B693" s="60">
        <f>10.0428 * CHOOSE(CONTROL!$C$22, $C$13, 100%, $E$13)</f>
        <v>10.0428</v>
      </c>
      <c r="C693" s="60">
        <f>10.0428 * CHOOSE(CONTROL!$C$22, $C$13, 100%, $E$13)</f>
        <v>10.0428</v>
      </c>
      <c r="D693" s="60">
        <f>10.0804 * CHOOSE(CONTROL!$C$22, $C$13, 100%, $E$13)</f>
        <v>10.080399999999999</v>
      </c>
      <c r="E693" s="61">
        <f>12.1019 * CHOOSE(CONTROL!$C$22, $C$13, 100%, $E$13)</f>
        <v>12.101900000000001</v>
      </c>
      <c r="F693" s="61">
        <f>12.1019 * CHOOSE(CONTROL!$C$22, $C$13, 100%, $E$13)</f>
        <v>12.101900000000001</v>
      </c>
      <c r="G693" s="61">
        <f>12.1042 * CHOOSE(CONTROL!$C$22, $C$13, 100%, $E$13)</f>
        <v>12.104200000000001</v>
      </c>
      <c r="H693" s="61">
        <f>20.461* CHOOSE(CONTROL!$C$22, $C$13, 100%, $E$13)</f>
        <v>20.460999999999999</v>
      </c>
      <c r="I693" s="61">
        <f>20.4634 * CHOOSE(CONTROL!$C$22, $C$13, 100%, $E$13)</f>
        <v>20.4634</v>
      </c>
      <c r="J693" s="61">
        <f>11.9013 * CHOOSE(CONTROL!$C$22, $C$13, 100%, $E$13)</f>
        <v>11.901300000000001</v>
      </c>
      <c r="K693" s="61">
        <f>12.1042 * CHOOSE(CONTROL!$C$22, $C$13, 100%, $E$13)</f>
        <v>12.104200000000001</v>
      </c>
    </row>
    <row r="694" spans="1:11" ht="15">
      <c r="A694" s="13">
        <v>62976</v>
      </c>
      <c r="B694" s="60">
        <f>10.0489 * CHOOSE(CONTROL!$C$22, $C$13, 100%, $E$13)</f>
        <v>10.0489</v>
      </c>
      <c r="C694" s="60">
        <f>10.0489 * CHOOSE(CONTROL!$C$22, $C$13, 100%, $E$13)</f>
        <v>10.0489</v>
      </c>
      <c r="D694" s="60">
        <f>10.0865 * CHOOSE(CONTROL!$C$22, $C$13, 100%, $E$13)</f>
        <v>10.086499999999999</v>
      </c>
      <c r="E694" s="61">
        <f>12.0447 * CHOOSE(CONTROL!$C$22, $C$13, 100%, $E$13)</f>
        <v>12.044700000000001</v>
      </c>
      <c r="F694" s="61">
        <f>12.0447 * CHOOSE(CONTROL!$C$22, $C$13, 100%, $E$13)</f>
        <v>12.044700000000001</v>
      </c>
      <c r="G694" s="61">
        <f>12.047 * CHOOSE(CONTROL!$C$22, $C$13, 100%, $E$13)</f>
        <v>12.047000000000001</v>
      </c>
      <c r="H694" s="61">
        <f>20.5037* CHOOSE(CONTROL!$C$22, $C$13, 100%, $E$13)</f>
        <v>20.503699999999998</v>
      </c>
      <c r="I694" s="61">
        <f>20.506 * CHOOSE(CONTROL!$C$22, $C$13, 100%, $E$13)</f>
        <v>20.506</v>
      </c>
      <c r="J694" s="61">
        <f>11.8453 * CHOOSE(CONTROL!$C$22, $C$13, 100%, $E$13)</f>
        <v>11.8453</v>
      </c>
      <c r="K694" s="61">
        <f>12.047 * CHOOSE(CONTROL!$C$22, $C$13, 100%, $E$13)</f>
        <v>12.047000000000001</v>
      </c>
    </row>
    <row r="695" spans="1:11" ht="15">
      <c r="A695" s="13">
        <v>63006</v>
      </c>
      <c r="B695" s="60">
        <f>10.1913 * CHOOSE(CONTROL!$C$22, $C$13, 100%, $E$13)</f>
        <v>10.1913</v>
      </c>
      <c r="C695" s="60">
        <f>10.1913 * CHOOSE(CONTROL!$C$22, $C$13, 100%, $E$13)</f>
        <v>10.1913</v>
      </c>
      <c r="D695" s="60">
        <f>10.2289 * CHOOSE(CONTROL!$C$22, $C$13, 100%, $E$13)</f>
        <v>10.228899999999999</v>
      </c>
      <c r="E695" s="61">
        <f>12.2657 * CHOOSE(CONTROL!$C$22, $C$13, 100%, $E$13)</f>
        <v>12.265700000000001</v>
      </c>
      <c r="F695" s="61">
        <f>12.2657 * CHOOSE(CONTROL!$C$22, $C$13, 100%, $E$13)</f>
        <v>12.265700000000001</v>
      </c>
      <c r="G695" s="61">
        <f>12.268 * CHOOSE(CONTROL!$C$22, $C$13, 100%, $E$13)</f>
        <v>12.268000000000001</v>
      </c>
      <c r="H695" s="61">
        <f>20.5464* CHOOSE(CONTROL!$C$22, $C$13, 100%, $E$13)</f>
        <v>20.546399999999998</v>
      </c>
      <c r="I695" s="61">
        <f>20.5487 * CHOOSE(CONTROL!$C$22, $C$13, 100%, $E$13)</f>
        <v>20.5487</v>
      </c>
      <c r="J695" s="61">
        <f>12.0629 * CHOOSE(CONTROL!$C$22, $C$13, 100%, $E$13)</f>
        <v>12.062900000000001</v>
      </c>
      <c r="K695" s="61">
        <f>12.268 * CHOOSE(CONTROL!$C$22, $C$13, 100%, $E$13)</f>
        <v>12.268000000000001</v>
      </c>
    </row>
    <row r="696" spans="1:11" ht="15">
      <c r="A696" s="13">
        <v>63037</v>
      </c>
      <c r="B696" s="60">
        <f>10.198 * CHOOSE(CONTROL!$C$22, $C$13, 100%, $E$13)</f>
        <v>10.198</v>
      </c>
      <c r="C696" s="60">
        <f>10.198 * CHOOSE(CONTROL!$C$22, $C$13, 100%, $E$13)</f>
        <v>10.198</v>
      </c>
      <c r="D696" s="60">
        <f>10.2356 * CHOOSE(CONTROL!$C$22, $C$13, 100%, $E$13)</f>
        <v>10.2356</v>
      </c>
      <c r="E696" s="61">
        <f>12.086 * CHOOSE(CONTROL!$C$22, $C$13, 100%, $E$13)</f>
        <v>12.086</v>
      </c>
      <c r="F696" s="61">
        <f>12.086 * CHOOSE(CONTROL!$C$22, $C$13, 100%, $E$13)</f>
        <v>12.086</v>
      </c>
      <c r="G696" s="61">
        <f>12.0883 * CHOOSE(CONTROL!$C$22, $C$13, 100%, $E$13)</f>
        <v>12.0883</v>
      </c>
      <c r="H696" s="61">
        <f>20.5892* CHOOSE(CONTROL!$C$22, $C$13, 100%, $E$13)</f>
        <v>20.589200000000002</v>
      </c>
      <c r="I696" s="61">
        <f>20.5915 * CHOOSE(CONTROL!$C$22, $C$13, 100%, $E$13)</f>
        <v>20.5915</v>
      </c>
      <c r="J696" s="61">
        <f>11.887 * CHOOSE(CONTROL!$C$22, $C$13, 100%, $E$13)</f>
        <v>11.887</v>
      </c>
      <c r="K696" s="61">
        <f>12.0883 * CHOOSE(CONTROL!$C$22, $C$13, 100%, $E$13)</f>
        <v>12.0883</v>
      </c>
    </row>
    <row r="697" spans="1:11" ht="15">
      <c r="A697" s="13">
        <v>63068</v>
      </c>
      <c r="B697" s="60">
        <f>10.1949 * CHOOSE(CONTROL!$C$22, $C$13, 100%, $E$13)</f>
        <v>10.194900000000001</v>
      </c>
      <c r="C697" s="60">
        <f>10.1949 * CHOOSE(CONTROL!$C$22, $C$13, 100%, $E$13)</f>
        <v>10.194900000000001</v>
      </c>
      <c r="D697" s="60">
        <f>10.2326 * CHOOSE(CONTROL!$C$22, $C$13, 100%, $E$13)</f>
        <v>10.2326</v>
      </c>
      <c r="E697" s="61">
        <f>12.0634 * CHOOSE(CONTROL!$C$22, $C$13, 100%, $E$13)</f>
        <v>12.0634</v>
      </c>
      <c r="F697" s="61">
        <f>12.0634 * CHOOSE(CONTROL!$C$22, $C$13, 100%, $E$13)</f>
        <v>12.0634</v>
      </c>
      <c r="G697" s="61">
        <f>12.0657 * CHOOSE(CONTROL!$C$22, $C$13, 100%, $E$13)</f>
        <v>12.0657</v>
      </c>
      <c r="H697" s="61">
        <f>20.6321* CHOOSE(CONTROL!$C$22, $C$13, 100%, $E$13)</f>
        <v>20.632100000000001</v>
      </c>
      <c r="I697" s="61">
        <f>20.6344 * CHOOSE(CONTROL!$C$22, $C$13, 100%, $E$13)</f>
        <v>20.634399999999999</v>
      </c>
      <c r="J697" s="61">
        <f>11.8648 * CHOOSE(CONTROL!$C$22, $C$13, 100%, $E$13)</f>
        <v>11.864800000000001</v>
      </c>
      <c r="K697" s="61">
        <f>12.0657 * CHOOSE(CONTROL!$C$22, $C$13, 100%, $E$13)</f>
        <v>12.0657</v>
      </c>
    </row>
    <row r="698" spans="1:11" ht="15">
      <c r="A698" s="13">
        <v>63098</v>
      </c>
      <c r="B698" s="60">
        <f>10.2136 * CHOOSE(CONTROL!$C$22, $C$13, 100%, $E$13)</f>
        <v>10.2136</v>
      </c>
      <c r="C698" s="60">
        <f>10.2136 * CHOOSE(CONTROL!$C$22, $C$13, 100%, $E$13)</f>
        <v>10.2136</v>
      </c>
      <c r="D698" s="60">
        <f>10.2324 * CHOOSE(CONTROL!$C$22, $C$13, 100%, $E$13)</f>
        <v>10.2324</v>
      </c>
      <c r="E698" s="61">
        <f>12.1319 * CHOOSE(CONTROL!$C$22, $C$13, 100%, $E$13)</f>
        <v>12.1319</v>
      </c>
      <c r="F698" s="61">
        <f>12.1319 * CHOOSE(CONTROL!$C$22, $C$13, 100%, $E$13)</f>
        <v>12.1319</v>
      </c>
      <c r="G698" s="61">
        <f>12.1321 * CHOOSE(CONTROL!$C$22, $C$13, 100%, $E$13)</f>
        <v>12.132099999999999</v>
      </c>
      <c r="H698" s="61">
        <f>20.6751* CHOOSE(CONTROL!$C$22, $C$13, 100%, $E$13)</f>
        <v>20.6751</v>
      </c>
      <c r="I698" s="61">
        <f>20.6752 * CHOOSE(CONTROL!$C$22, $C$13, 100%, $E$13)</f>
        <v>20.6752</v>
      </c>
      <c r="J698" s="61">
        <f>11.9316 * CHOOSE(CONTROL!$C$22, $C$13, 100%, $E$13)</f>
        <v>11.9316</v>
      </c>
      <c r="K698" s="61">
        <f>12.1321 * CHOOSE(CONTROL!$C$22, $C$13, 100%, $E$13)</f>
        <v>12.132099999999999</v>
      </c>
    </row>
    <row r="699" spans="1:11" ht="15">
      <c r="A699" s="13">
        <v>63129</v>
      </c>
      <c r="B699" s="60">
        <f>10.2166 * CHOOSE(CONTROL!$C$22, $C$13, 100%, $E$13)</f>
        <v>10.2166</v>
      </c>
      <c r="C699" s="60">
        <f>10.2166 * CHOOSE(CONTROL!$C$22, $C$13, 100%, $E$13)</f>
        <v>10.2166</v>
      </c>
      <c r="D699" s="60">
        <f>10.2354 * CHOOSE(CONTROL!$C$22, $C$13, 100%, $E$13)</f>
        <v>10.2354</v>
      </c>
      <c r="E699" s="61">
        <f>12.175 * CHOOSE(CONTROL!$C$22, $C$13, 100%, $E$13)</f>
        <v>12.175000000000001</v>
      </c>
      <c r="F699" s="61">
        <f>12.175 * CHOOSE(CONTROL!$C$22, $C$13, 100%, $E$13)</f>
        <v>12.175000000000001</v>
      </c>
      <c r="G699" s="61">
        <f>12.1752 * CHOOSE(CONTROL!$C$22, $C$13, 100%, $E$13)</f>
        <v>12.1752</v>
      </c>
      <c r="H699" s="61">
        <f>20.7181* CHOOSE(CONTROL!$C$22, $C$13, 100%, $E$13)</f>
        <v>20.7181</v>
      </c>
      <c r="I699" s="61">
        <f>20.7183 * CHOOSE(CONTROL!$C$22, $C$13, 100%, $E$13)</f>
        <v>20.718299999999999</v>
      </c>
      <c r="J699" s="61">
        <f>11.9739 * CHOOSE(CONTROL!$C$22, $C$13, 100%, $E$13)</f>
        <v>11.9739</v>
      </c>
      <c r="K699" s="61">
        <f>12.1752 * CHOOSE(CONTROL!$C$22, $C$13, 100%, $E$13)</f>
        <v>12.1752</v>
      </c>
    </row>
    <row r="700" spans="1:11" ht="15">
      <c r="A700" s="13">
        <v>63159</v>
      </c>
      <c r="B700" s="60">
        <f>10.2166 * CHOOSE(CONTROL!$C$22, $C$13, 100%, $E$13)</f>
        <v>10.2166</v>
      </c>
      <c r="C700" s="60">
        <f>10.2166 * CHOOSE(CONTROL!$C$22, $C$13, 100%, $E$13)</f>
        <v>10.2166</v>
      </c>
      <c r="D700" s="60">
        <f>10.2354 * CHOOSE(CONTROL!$C$22, $C$13, 100%, $E$13)</f>
        <v>10.2354</v>
      </c>
      <c r="E700" s="61">
        <f>12.0726 * CHOOSE(CONTROL!$C$22, $C$13, 100%, $E$13)</f>
        <v>12.0726</v>
      </c>
      <c r="F700" s="61">
        <f>12.0726 * CHOOSE(CONTROL!$C$22, $C$13, 100%, $E$13)</f>
        <v>12.0726</v>
      </c>
      <c r="G700" s="61">
        <f>12.0728 * CHOOSE(CONTROL!$C$22, $C$13, 100%, $E$13)</f>
        <v>12.072800000000001</v>
      </c>
      <c r="H700" s="61">
        <f>20.7613* CHOOSE(CONTROL!$C$22, $C$13, 100%, $E$13)</f>
        <v>20.761299999999999</v>
      </c>
      <c r="I700" s="61">
        <f>20.7615 * CHOOSE(CONTROL!$C$22, $C$13, 100%, $E$13)</f>
        <v>20.761500000000002</v>
      </c>
      <c r="J700" s="61">
        <f>11.8735 * CHOOSE(CONTROL!$C$22, $C$13, 100%, $E$13)</f>
        <v>11.8735</v>
      </c>
      <c r="K700" s="61">
        <f>12.0728 * CHOOSE(CONTROL!$C$22, $C$13, 100%, $E$13)</f>
        <v>12.072800000000001</v>
      </c>
    </row>
    <row r="701" spans="1:11" ht="15">
      <c r="A701" s="13">
        <v>63190</v>
      </c>
      <c r="B701" s="60">
        <f>10.2573 * CHOOSE(CONTROL!$C$22, $C$13, 100%, $E$13)</f>
        <v>10.257300000000001</v>
      </c>
      <c r="C701" s="60">
        <f>10.2573 * CHOOSE(CONTROL!$C$22, $C$13, 100%, $E$13)</f>
        <v>10.257300000000001</v>
      </c>
      <c r="D701" s="60">
        <f>10.2761 * CHOOSE(CONTROL!$C$22, $C$13, 100%, $E$13)</f>
        <v>10.2761</v>
      </c>
      <c r="E701" s="61">
        <f>12.1998 * CHOOSE(CONTROL!$C$22, $C$13, 100%, $E$13)</f>
        <v>12.1998</v>
      </c>
      <c r="F701" s="61">
        <f>12.1998 * CHOOSE(CONTROL!$C$22, $C$13, 100%, $E$13)</f>
        <v>12.1998</v>
      </c>
      <c r="G701" s="61">
        <f>12.2 * CHOOSE(CONTROL!$C$22, $C$13, 100%, $E$13)</f>
        <v>12.2</v>
      </c>
      <c r="H701" s="61">
        <f>20.6929* CHOOSE(CONTROL!$C$22, $C$13, 100%, $E$13)</f>
        <v>20.692900000000002</v>
      </c>
      <c r="I701" s="61">
        <f>20.6931 * CHOOSE(CONTROL!$C$22, $C$13, 100%, $E$13)</f>
        <v>20.693100000000001</v>
      </c>
      <c r="J701" s="61">
        <f>11.981 * CHOOSE(CONTROL!$C$22, $C$13, 100%, $E$13)</f>
        <v>11.981</v>
      </c>
      <c r="K701" s="61">
        <f>12.2 * CHOOSE(CONTROL!$C$22, $C$13, 100%, $E$13)</f>
        <v>12.2</v>
      </c>
    </row>
    <row r="702" spans="1:11" ht="15">
      <c r="A702" s="13">
        <v>63221</v>
      </c>
      <c r="B702" s="60">
        <f>10.2542 * CHOOSE(CONTROL!$C$22, $C$13, 100%, $E$13)</f>
        <v>10.254200000000001</v>
      </c>
      <c r="C702" s="60">
        <f>10.2542 * CHOOSE(CONTROL!$C$22, $C$13, 100%, $E$13)</f>
        <v>10.254200000000001</v>
      </c>
      <c r="D702" s="60">
        <f>10.2731 * CHOOSE(CONTROL!$C$22, $C$13, 100%, $E$13)</f>
        <v>10.273099999999999</v>
      </c>
      <c r="E702" s="61">
        <f>11.9993 * CHOOSE(CONTROL!$C$22, $C$13, 100%, $E$13)</f>
        <v>11.9993</v>
      </c>
      <c r="F702" s="61">
        <f>11.9993 * CHOOSE(CONTROL!$C$22, $C$13, 100%, $E$13)</f>
        <v>11.9993</v>
      </c>
      <c r="G702" s="61">
        <f>11.9994 * CHOOSE(CONTROL!$C$22, $C$13, 100%, $E$13)</f>
        <v>11.9994</v>
      </c>
      <c r="H702" s="61">
        <f>20.736* CHOOSE(CONTROL!$C$22, $C$13, 100%, $E$13)</f>
        <v>20.736000000000001</v>
      </c>
      <c r="I702" s="61">
        <f>20.7362 * CHOOSE(CONTROL!$C$22, $C$13, 100%, $E$13)</f>
        <v>20.7362</v>
      </c>
      <c r="J702" s="61">
        <f>11.7849 * CHOOSE(CONTROL!$C$22, $C$13, 100%, $E$13)</f>
        <v>11.7849</v>
      </c>
      <c r="K702" s="61">
        <f>11.9994 * CHOOSE(CONTROL!$C$22, $C$13, 100%, $E$13)</f>
        <v>11.9994</v>
      </c>
    </row>
    <row r="703" spans="1:11" ht="15">
      <c r="A703" s="13">
        <v>63249</v>
      </c>
      <c r="B703" s="60">
        <f>10.2512 * CHOOSE(CONTROL!$C$22, $C$13, 100%, $E$13)</f>
        <v>10.251200000000001</v>
      </c>
      <c r="C703" s="60">
        <f>10.2512 * CHOOSE(CONTROL!$C$22, $C$13, 100%, $E$13)</f>
        <v>10.251200000000001</v>
      </c>
      <c r="D703" s="60">
        <f>10.27 * CHOOSE(CONTROL!$C$22, $C$13, 100%, $E$13)</f>
        <v>10.27</v>
      </c>
      <c r="E703" s="61">
        <f>12.1536 * CHOOSE(CONTROL!$C$22, $C$13, 100%, $E$13)</f>
        <v>12.153600000000001</v>
      </c>
      <c r="F703" s="61">
        <f>12.1536 * CHOOSE(CONTROL!$C$22, $C$13, 100%, $E$13)</f>
        <v>12.153600000000001</v>
      </c>
      <c r="G703" s="61">
        <f>12.1538 * CHOOSE(CONTROL!$C$22, $C$13, 100%, $E$13)</f>
        <v>12.1538</v>
      </c>
      <c r="H703" s="61">
        <f>20.7792* CHOOSE(CONTROL!$C$22, $C$13, 100%, $E$13)</f>
        <v>20.779199999999999</v>
      </c>
      <c r="I703" s="61">
        <f>20.7794 * CHOOSE(CONTROL!$C$22, $C$13, 100%, $E$13)</f>
        <v>20.779399999999999</v>
      </c>
      <c r="J703" s="61">
        <f>11.9357 * CHOOSE(CONTROL!$C$22, $C$13, 100%, $E$13)</f>
        <v>11.935700000000001</v>
      </c>
      <c r="K703" s="61">
        <f>12.1538 * CHOOSE(CONTROL!$C$22, $C$13, 100%, $E$13)</f>
        <v>12.1538</v>
      </c>
    </row>
    <row r="704" spans="1:11" ht="15">
      <c r="A704" s="13">
        <v>63280</v>
      </c>
      <c r="B704" s="60">
        <f>10.255 * CHOOSE(CONTROL!$C$22, $C$13, 100%, $E$13)</f>
        <v>10.255000000000001</v>
      </c>
      <c r="C704" s="60">
        <f>10.255 * CHOOSE(CONTROL!$C$22, $C$13, 100%, $E$13)</f>
        <v>10.255000000000001</v>
      </c>
      <c r="D704" s="60">
        <f>10.2738 * CHOOSE(CONTROL!$C$22, $C$13, 100%, $E$13)</f>
        <v>10.2738</v>
      </c>
      <c r="E704" s="61">
        <f>12.3174 * CHOOSE(CONTROL!$C$22, $C$13, 100%, $E$13)</f>
        <v>12.317399999999999</v>
      </c>
      <c r="F704" s="61">
        <f>12.3174 * CHOOSE(CONTROL!$C$22, $C$13, 100%, $E$13)</f>
        <v>12.317399999999999</v>
      </c>
      <c r="G704" s="61">
        <f>12.3175 * CHOOSE(CONTROL!$C$22, $C$13, 100%, $E$13)</f>
        <v>12.317500000000001</v>
      </c>
      <c r="H704" s="61">
        <f>20.8225* CHOOSE(CONTROL!$C$22, $C$13, 100%, $E$13)</f>
        <v>20.822500000000002</v>
      </c>
      <c r="I704" s="61">
        <f>20.8227 * CHOOSE(CONTROL!$C$22, $C$13, 100%, $E$13)</f>
        <v>20.822700000000001</v>
      </c>
      <c r="J704" s="61">
        <f>12.0958 * CHOOSE(CONTROL!$C$22, $C$13, 100%, $E$13)</f>
        <v>12.095800000000001</v>
      </c>
      <c r="K704" s="61">
        <f>12.3175 * CHOOSE(CONTROL!$C$22, $C$13, 100%, $E$13)</f>
        <v>12.317500000000001</v>
      </c>
    </row>
    <row r="705" spans="1:11" ht="15">
      <c r="A705" s="13">
        <v>63310</v>
      </c>
      <c r="B705" s="60">
        <f>10.255 * CHOOSE(CONTROL!$C$22, $C$13, 100%, $E$13)</f>
        <v>10.255000000000001</v>
      </c>
      <c r="C705" s="60">
        <f>10.255 * CHOOSE(CONTROL!$C$22, $C$13, 100%, $E$13)</f>
        <v>10.255000000000001</v>
      </c>
      <c r="D705" s="60">
        <f>10.2927 * CHOOSE(CONTROL!$C$22, $C$13, 100%, $E$13)</f>
        <v>10.2927</v>
      </c>
      <c r="E705" s="61">
        <f>12.3804 * CHOOSE(CONTROL!$C$22, $C$13, 100%, $E$13)</f>
        <v>12.3804</v>
      </c>
      <c r="F705" s="61">
        <f>12.3804 * CHOOSE(CONTROL!$C$22, $C$13, 100%, $E$13)</f>
        <v>12.3804</v>
      </c>
      <c r="G705" s="61">
        <f>12.3827 * CHOOSE(CONTROL!$C$22, $C$13, 100%, $E$13)</f>
        <v>12.3827</v>
      </c>
      <c r="H705" s="61">
        <f>20.8659* CHOOSE(CONTROL!$C$22, $C$13, 100%, $E$13)</f>
        <v>20.8659</v>
      </c>
      <c r="I705" s="61">
        <f>20.8682 * CHOOSE(CONTROL!$C$22, $C$13, 100%, $E$13)</f>
        <v>20.868200000000002</v>
      </c>
      <c r="J705" s="61">
        <f>12.1574 * CHOOSE(CONTROL!$C$22, $C$13, 100%, $E$13)</f>
        <v>12.157400000000001</v>
      </c>
      <c r="K705" s="61">
        <f>12.3827 * CHOOSE(CONTROL!$C$22, $C$13, 100%, $E$13)</f>
        <v>12.3827</v>
      </c>
    </row>
    <row r="706" spans="1:11" ht="15">
      <c r="A706" s="13">
        <v>63341</v>
      </c>
      <c r="B706" s="60">
        <f>10.2611 * CHOOSE(CONTROL!$C$22, $C$13, 100%, $E$13)</f>
        <v>10.261100000000001</v>
      </c>
      <c r="C706" s="60">
        <f>10.2611 * CHOOSE(CONTROL!$C$22, $C$13, 100%, $E$13)</f>
        <v>10.261100000000001</v>
      </c>
      <c r="D706" s="60">
        <f>10.2987 * CHOOSE(CONTROL!$C$22, $C$13, 100%, $E$13)</f>
        <v>10.2987</v>
      </c>
      <c r="E706" s="61">
        <f>12.3216 * CHOOSE(CONTROL!$C$22, $C$13, 100%, $E$13)</f>
        <v>12.3216</v>
      </c>
      <c r="F706" s="61">
        <f>12.3216 * CHOOSE(CONTROL!$C$22, $C$13, 100%, $E$13)</f>
        <v>12.3216</v>
      </c>
      <c r="G706" s="61">
        <f>12.3239 * CHOOSE(CONTROL!$C$22, $C$13, 100%, $E$13)</f>
        <v>12.3239</v>
      </c>
      <c r="H706" s="61">
        <f>20.9093* CHOOSE(CONTROL!$C$22, $C$13, 100%, $E$13)</f>
        <v>20.909300000000002</v>
      </c>
      <c r="I706" s="61">
        <f>20.9116 * CHOOSE(CONTROL!$C$22, $C$13, 100%, $E$13)</f>
        <v>20.9116</v>
      </c>
      <c r="J706" s="61">
        <f>12.1 * CHOOSE(CONTROL!$C$22, $C$13, 100%, $E$13)</f>
        <v>12.1</v>
      </c>
      <c r="K706" s="61">
        <f>12.3239 * CHOOSE(CONTROL!$C$22, $C$13, 100%, $E$13)</f>
        <v>12.3239</v>
      </c>
    </row>
    <row r="707" spans="1:11" ht="15">
      <c r="A707" s="13">
        <v>63371</v>
      </c>
      <c r="B707" s="60">
        <f>10.4062 * CHOOSE(CONTROL!$C$22, $C$13, 100%, $E$13)</f>
        <v>10.4062</v>
      </c>
      <c r="C707" s="60">
        <f>10.4062 * CHOOSE(CONTROL!$C$22, $C$13, 100%, $E$13)</f>
        <v>10.4062</v>
      </c>
      <c r="D707" s="60">
        <f>10.4438 * CHOOSE(CONTROL!$C$22, $C$13, 100%, $E$13)</f>
        <v>10.4438</v>
      </c>
      <c r="E707" s="61">
        <f>12.5474 * CHOOSE(CONTROL!$C$22, $C$13, 100%, $E$13)</f>
        <v>12.5474</v>
      </c>
      <c r="F707" s="61">
        <f>12.5474 * CHOOSE(CONTROL!$C$22, $C$13, 100%, $E$13)</f>
        <v>12.5474</v>
      </c>
      <c r="G707" s="61">
        <f>12.5497 * CHOOSE(CONTROL!$C$22, $C$13, 100%, $E$13)</f>
        <v>12.5497</v>
      </c>
      <c r="H707" s="61">
        <f>20.9529* CHOOSE(CONTROL!$C$22, $C$13, 100%, $E$13)</f>
        <v>20.9529</v>
      </c>
      <c r="I707" s="61">
        <f>20.9552 * CHOOSE(CONTROL!$C$22, $C$13, 100%, $E$13)</f>
        <v>20.955200000000001</v>
      </c>
      <c r="J707" s="61">
        <f>12.322 * CHOOSE(CONTROL!$C$22, $C$13, 100%, $E$13)</f>
        <v>12.321999999999999</v>
      </c>
      <c r="K707" s="61">
        <f>12.5497 * CHOOSE(CONTROL!$C$22, $C$13, 100%, $E$13)</f>
        <v>12.5497</v>
      </c>
    </row>
    <row r="708" spans="1:11" ht="15">
      <c r="A708" s="13">
        <v>63402</v>
      </c>
      <c r="B708" s="60">
        <f>10.4129 * CHOOSE(CONTROL!$C$22, $C$13, 100%, $E$13)</f>
        <v>10.4129</v>
      </c>
      <c r="C708" s="60">
        <f>10.4129 * CHOOSE(CONTROL!$C$22, $C$13, 100%, $E$13)</f>
        <v>10.4129</v>
      </c>
      <c r="D708" s="60">
        <f>10.4505 * CHOOSE(CONTROL!$C$22, $C$13, 100%, $E$13)</f>
        <v>10.4505</v>
      </c>
      <c r="E708" s="61">
        <f>12.363 * CHOOSE(CONTROL!$C$22, $C$13, 100%, $E$13)</f>
        <v>12.363</v>
      </c>
      <c r="F708" s="61">
        <f>12.363 * CHOOSE(CONTROL!$C$22, $C$13, 100%, $E$13)</f>
        <v>12.363</v>
      </c>
      <c r="G708" s="61">
        <f>12.3653 * CHOOSE(CONTROL!$C$22, $C$13, 100%, $E$13)</f>
        <v>12.3653</v>
      </c>
      <c r="H708" s="61">
        <f>20.9965* CHOOSE(CONTROL!$C$22, $C$13, 100%, $E$13)</f>
        <v>20.996500000000001</v>
      </c>
      <c r="I708" s="61">
        <f>20.9989 * CHOOSE(CONTROL!$C$22, $C$13, 100%, $E$13)</f>
        <v>20.998899999999999</v>
      </c>
      <c r="J708" s="61">
        <f>12.1418 * CHOOSE(CONTROL!$C$22, $C$13, 100%, $E$13)</f>
        <v>12.1418</v>
      </c>
      <c r="K708" s="61">
        <f>12.3653 * CHOOSE(CONTROL!$C$22, $C$13, 100%, $E$13)</f>
        <v>12.3653</v>
      </c>
    </row>
    <row r="709" spans="1:11" ht="15">
      <c r="A709" s="13">
        <v>63433</v>
      </c>
      <c r="B709" s="60">
        <f>10.4098 * CHOOSE(CONTROL!$C$22, $C$13, 100%, $E$13)</f>
        <v>10.409800000000001</v>
      </c>
      <c r="C709" s="60">
        <f>10.4098 * CHOOSE(CONTROL!$C$22, $C$13, 100%, $E$13)</f>
        <v>10.409800000000001</v>
      </c>
      <c r="D709" s="60">
        <f>10.4475 * CHOOSE(CONTROL!$C$22, $C$13, 100%, $E$13)</f>
        <v>10.4475</v>
      </c>
      <c r="E709" s="61">
        <f>12.3399 * CHOOSE(CONTROL!$C$22, $C$13, 100%, $E$13)</f>
        <v>12.3399</v>
      </c>
      <c r="F709" s="61">
        <f>12.3399 * CHOOSE(CONTROL!$C$22, $C$13, 100%, $E$13)</f>
        <v>12.3399</v>
      </c>
      <c r="G709" s="61">
        <f>12.3422 * CHOOSE(CONTROL!$C$22, $C$13, 100%, $E$13)</f>
        <v>12.3422</v>
      </c>
      <c r="H709" s="61">
        <f>21.0403* CHOOSE(CONTROL!$C$22, $C$13, 100%, $E$13)</f>
        <v>21.040299999999998</v>
      </c>
      <c r="I709" s="61">
        <f>21.0426 * CHOOSE(CONTROL!$C$22, $C$13, 100%, $E$13)</f>
        <v>21.0426</v>
      </c>
      <c r="J709" s="61">
        <f>12.1192 * CHOOSE(CONTROL!$C$22, $C$13, 100%, $E$13)</f>
        <v>12.119199999999999</v>
      </c>
      <c r="K709" s="61">
        <f>12.3422 * CHOOSE(CONTROL!$C$22, $C$13, 100%, $E$13)</f>
        <v>12.3422</v>
      </c>
    </row>
    <row r="710" spans="1:11" ht="15">
      <c r="A710" s="13">
        <v>63463</v>
      </c>
      <c r="B710" s="60">
        <f>10.4293 * CHOOSE(CONTROL!$C$22, $C$13, 100%, $E$13)</f>
        <v>10.4293</v>
      </c>
      <c r="C710" s="60">
        <f>10.4293 * CHOOSE(CONTROL!$C$22, $C$13, 100%, $E$13)</f>
        <v>10.4293</v>
      </c>
      <c r="D710" s="60">
        <f>10.4481 * CHOOSE(CONTROL!$C$22, $C$13, 100%, $E$13)</f>
        <v>10.4481</v>
      </c>
      <c r="E710" s="61">
        <f>12.4105 * CHOOSE(CONTROL!$C$22, $C$13, 100%, $E$13)</f>
        <v>12.410500000000001</v>
      </c>
      <c r="F710" s="61">
        <f>12.4105 * CHOOSE(CONTROL!$C$22, $C$13, 100%, $E$13)</f>
        <v>12.410500000000001</v>
      </c>
      <c r="G710" s="61">
        <f>12.4107 * CHOOSE(CONTROL!$C$22, $C$13, 100%, $E$13)</f>
        <v>12.4107</v>
      </c>
      <c r="H710" s="61">
        <f>21.0841* CHOOSE(CONTROL!$C$22, $C$13, 100%, $E$13)</f>
        <v>21.084099999999999</v>
      </c>
      <c r="I710" s="61">
        <f>21.0843 * CHOOSE(CONTROL!$C$22, $C$13, 100%, $E$13)</f>
        <v>21.084299999999999</v>
      </c>
      <c r="J710" s="61">
        <f>12.1879 * CHOOSE(CONTROL!$C$22, $C$13, 100%, $E$13)</f>
        <v>12.187900000000001</v>
      </c>
      <c r="K710" s="61">
        <f>12.4107 * CHOOSE(CONTROL!$C$22, $C$13, 100%, $E$13)</f>
        <v>12.4107</v>
      </c>
    </row>
    <row r="711" spans="1:11" ht="15">
      <c r="A711" s="13">
        <v>63494</v>
      </c>
      <c r="B711" s="60">
        <f>10.4323 * CHOOSE(CONTROL!$C$22, $C$13, 100%, $E$13)</f>
        <v>10.4323</v>
      </c>
      <c r="C711" s="60">
        <f>10.4323 * CHOOSE(CONTROL!$C$22, $C$13, 100%, $E$13)</f>
        <v>10.4323</v>
      </c>
      <c r="D711" s="60">
        <f>10.4511 * CHOOSE(CONTROL!$C$22, $C$13, 100%, $E$13)</f>
        <v>10.4511</v>
      </c>
      <c r="E711" s="61">
        <f>12.4546 * CHOOSE(CONTROL!$C$22, $C$13, 100%, $E$13)</f>
        <v>12.454599999999999</v>
      </c>
      <c r="F711" s="61">
        <f>12.4546 * CHOOSE(CONTROL!$C$22, $C$13, 100%, $E$13)</f>
        <v>12.454599999999999</v>
      </c>
      <c r="G711" s="61">
        <f>12.4548 * CHOOSE(CONTROL!$C$22, $C$13, 100%, $E$13)</f>
        <v>12.454800000000001</v>
      </c>
      <c r="H711" s="61">
        <f>21.128* CHOOSE(CONTROL!$C$22, $C$13, 100%, $E$13)</f>
        <v>21.128</v>
      </c>
      <c r="I711" s="61">
        <f>21.1282 * CHOOSE(CONTROL!$C$22, $C$13, 100%, $E$13)</f>
        <v>21.1282</v>
      </c>
      <c r="J711" s="61">
        <f>12.2311 * CHOOSE(CONTROL!$C$22, $C$13, 100%, $E$13)</f>
        <v>12.2311</v>
      </c>
      <c r="K711" s="61">
        <f>12.4548 * CHOOSE(CONTROL!$C$22, $C$13, 100%, $E$13)</f>
        <v>12.454800000000001</v>
      </c>
    </row>
    <row r="712" spans="1:11" ht="15">
      <c r="A712" s="13">
        <v>63524</v>
      </c>
      <c r="B712" s="60">
        <f>10.4323 * CHOOSE(CONTROL!$C$22, $C$13, 100%, $E$13)</f>
        <v>10.4323</v>
      </c>
      <c r="C712" s="60">
        <f>10.4323 * CHOOSE(CONTROL!$C$22, $C$13, 100%, $E$13)</f>
        <v>10.4323</v>
      </c>
      <c r="D712" s="60">
        <f>10.4511 * CHOOSE(CONTROL!$C$22, $C$13, 100%, $E$13)</f>
        <v>10.4511</v>
      </c>
      <c r="E712" s="61">
        <f>12.3496 * CHOOSE(CONTROL!$C$22, $C$13, 100%, $E$13)</f>
        <v>12.349600000000001</v>
      </c>
      <c r="F712" s="61">
        <f>12.3496 * CHOOSE(CONTROL!$C$22, $C$13, 100%, $E$13)</f>
        <v>12.349600000000001</v>
      </c>
      <c r="G712" s="61">
        <f>12.3498 * CHOOSE(CONTROL!$C$22, $C$13, 100%, $E$13)</f>
        <v>12.3498</v>
      </c>
      <c r="H712" s="61">
        <f>21.1721* CHOOSE(CONTROL!$C$22, $C$13, 100%, $E$13)</f>
        <v>21.1721</v>
      </c>
      <c r="I712" s="61">
        <f>21.1722 * CHOOSE(CONTROL!$C$22, $C$13, 100%, $E$13)</f>
        <v>21.1722</v>
      </c>
      <c r="J712" s="61">
        <f>12.1284 * CHOOSE(CONTROL!$C$22, $C$13, 100%, $E$13)</f>
        <v>12.128399999999999</v>
      </c>
      <c r="K712" s="61">
        <f>12.3498 * CHOOSE(CONTROL!$C$22, $C$13, 100%, $E$13)</f>
        <v>12.3498</v>
      </c>
    </row>
    <row r="713" spans="1:11" ht="15">
      <c r="A713" s="13">
        <v>63555</v>
      </c>
      <c r="B713" s="60">
        <f>10.4693 * CHOOSE(CONTROL!$C$22, $C$13, 100%, $E$13)</f>
        <v>10.4693</v>
      </c>
      <c r="C713" s="60">
        <f>10.4693 * CHOOSE(CONTROL!$C$22, $C$13, 100%, $E$13)</f>
        <v>10.4693</v>
      </c>
      <c r="D713" s="60">
        <f>10.4881 * CHOOSE(CONTROL!$C$22, $C$13, 100%, $E$13)</f>
        <v>10.488099999999999</v>
      </c>
      <c r="E713" s="61">
        <f>12.4736 * CHOOSE(CONTROL!$C$22, $C$13, 100%, $E$13)</f>
        <v>12.473599999999999</v>
      </c>
      <c r="F713" s="61">
        <f>12.4736 * CHOOSE(CONTROL!$C$22, $C$13, 100%, $E$13)</f>
        <v>12.473599999999999</v>
      </c>
      <c r="G713" s="61">
        <f>12.4738 * CHOOSE(CONTROL!$C$22, $C$13, 100%, $E$13)</f>
        <v>12.473800000000001</v>
      </c>
      <c r="H713" s="61">
        <f>21.0943* CHOOSE(CONTROL!$C$22, $C$13, 100%, $E$13)</f>
        <v>21.0943</v>
      </c>
      <c r="I713" s="61">
        <f>21.0945 * CHOOSE(CONTROL!$C$22, $C$13, 100%, $E$13)</f>
        <v>21.0945</v>
      </c>
      <c r="J713" s="61">
        <f>12.2329 * CHOOSE(CONTROL!$C$22, $C$13, 100%, $E$13)</f>
        <v>12.232900000000001</v>
      </c>
      <c r="K713" s="61">
        <f>12.4738 * CHOOSE(CONTROL!$C$22, $C$13, 100%, $E$13)</f>
        <v>12.473800000000001</v>
      </c>
    </row>
    <row r="714" spans="1:11" ht="15">
      <c r="A714" s="13">
        <v>63586</v>
      </c>
      <c r="B714" s="60">
        <f>10.4663 * CHOOSE(CONTROL!$C$22, $C$13, 100%, $E$13)</f>
        <v>10.4663</v>
      </c>
      <c r="C714" s="60">
        <f>10.4663 * CHOOSE(CONTROL!$C$22, $C$13, 100%, $E$13)</f>
        <v>10.4663</v>
      </c>
      <c r="D714" s="60">
        <f>10.4851 * CHOOSE(CONTROL!$C$22, $C$13, 100%, $E$13)</f>
        <v>10.485099999999999</v>
      </c>
      <c r="E714" s="61">
        <f>12.2681 * CHOOSE(CONTROL!$C$22, $C$13, 100%, $E$13)</f>
        <v>12.2681</v>
      </c>
      <c r="F714" s="61">
        <f>12.2681 * CHOOSE(CONTROL!$C$22, $C$13, 100%, $E$13)</f>
        <v>12.2681</v>
      </c>
      <c r="G714" s="61">
        <f>12.2683 * CHOOSE(CONTROL!$C$22, $C$13, 100%, $E$13)</f>
        <v>12.2683</v>
      </c>
      <c r="H714" s="61">
        <f>21.1383* CHOOSE(CONTROL!$C$22, $C$13, 100%, $E$13)</f>
        <v>21.138300000000001</v>
      </c>
      <c r="I714" s="61">
        <f>21.1385 * CHOOSE(CONTROL!$C$22, $C$13, 100%, $E$13)</f>
        <v>21.138500000000001</v>
      </c>
      <c r="J714" s="61">
        <f>12.0322 * CHOOSE(CONTROL!$C$22, $C$13, 100%, $E$13)</f>
        <v>12.0322</v>
      </c>
      <c r="K714" s="61">
        <f>12.2683 * CHOOSE(CONTROL!$C$22, $C$13, 100%, $E$13)</f>
        <v>12.2683</v>
      </c>
    </row>
    <row r="715" spans="1:11" ht="15">
      <c r="A715" s="13">
        <v>63614</v>
      </c>
      <c r="B715" s="60">
        <f>10.4632 * CHOOSE(CONTROL!$C$22, $C$13, 100%, $E$13)</f>
        <v>10.463200000000001</v>
      </c>
      <c r="C715" s="60">
        <f>10.4632 * CHOOSE(CONTROL!$C$22, $C$13, 100%, $E$13)</f>
        <v>10.463200000000001</v>
      </c>
      <c r="D715" s="60">
        <f>10.482 * CHOOSE(CONTROL!$C$22, $C$13, 100%, $E$13)</f>
        <v>10.481999999999999</v>
      </c>
      <c r="E715" s="61">
        <f>12.4263 * CHOOSE(CONTROL!$C$22, $C$13, 100%, $E$13)</f>
        <v>12.426299999999999</v>
      </c>
      <c r="F715" s="61">
        <f>12.4263 * CHOOSE(CONTROL!$C$22, $C$13, 100%, $E$13)</f>
        <v>12.426299999999999</v>
      </c>
      <c r="G715" s="61">
        <f>12.4265 * CHOOSE(CONTROL!$C$22, $C$13, 100%, $E$13)</f>
        <v>12.426500000000001</v>
      </c>
      <c r="H715" s="61">
        <f>21.1823* CHOOSE(CONTROL!$C$22, $C$13, 100%, $E$13)</f>
        <v>21.182300000000001</v>
      </c>
      <c r="I715" s="61">
        <f>21.1825 * CHOOSE(CONTROL!$C$22, $C$13, 100%, $E$13)</f>
        <v>21.182500000000001</v>
      </c>
      <c r="J715" s="61">
        <f>12.1866 * CHOOSE(CONTROL!$C$22, $C$13, 100%, $E$13)</f>
        <v>12.1866</v>
      </c>
      <c r="K715" s="61">
        <f>12.4265 * CHOOSE(CONTROL!$C$22, $C$13, 100%, $E$13)</f>
        <v>12.426500000000001</v>
      </c>
    </row>
    <row r="716" spans="1:11" ht="15">
      <c r="A716" s="13">
        <v>63645</v>
      </c>
      <c r="B716" s="60">
        <f>10.4673 * CHOOSE(CONTROL!$C$22, $C$13, 100%, $E$13)</f>
        <v>10.4673</v>
      </c>
      <c r="C716" s="60">
        <f>10.4673 * CHOOSE(CONTROL!$C$22, $C$13, 100%, $E$13)</f>
        <v>10.4673</v>
      </c>
      <c r="D716" s="60">
        <f>10.4861 * CHOOSE(CONTROL!$C$22, $C$13, 100%, $E$13)</f>
        <v>10.4861</v>
      </c>
      <c r="E716" s="61">
        <f>12.5942 * CHOOSE(CONTROL!$C$22, $C$13, 100%, $E$13)</f>
        <v>12.594200000000001</v>
      </c>
      <c r="F716" s="61">
        <f>12.5942 * CHOOSE(CONTROL!$C$22, $C$13, 100%, $E$13)</f>
        <v>12.594200000000001</v>
      </c>
      <c r="G716" s="61">
        <f>12.5944 * CHOOSE(CONTROL!$C$22, $C$13, 100%, $E$13)</f>
        <v>12.5944</v>
      </c>
      <c r="H716" s="61">
        <f>21.2265* CHOOSE(CONTROL!$C$22, $C$13, 100%, $E$13)</f>
        <v>21.226500000000001</v>
      </c>
      <c r="I716" s="61">
        <f>21.2266 * CHOOSE(CONTROL!$C$22, $C$13, 100%, $E$13)</f>
        <v>21.226600000000001</v>
      </c>
      <c r="J716" s="61">
        <f>12.3504 * CHOOSE(CONTROL!$C$22, $C$13, 100%, $E$13)</f>
        <v>12.3504</v>
      </c>
      <c r="K716" s="61">
        <f>12.5944 * CHOOSE(CONTROL!$C$22, $C$13, 100%, $E$13)</f>
        <v>12.5944</v>
      </c>
    </row>
    <row r="717" spans="1:11" ht="15">
      <c r="A717" s="13">
        <v>63675</v>
      </c>
      <c r="B717" s="60">
        <f>10.4673 * CHOOSE(CONTROL!$C$22, $C$13, 100%, $E$13)</f>
        <v>10.4673</v>
      </c>
      <c r="C717" s="60">
        <f>10.4673 * CHOOSE(CONTROL!$C$22, $C$13, 100%, $E$13)</f>
        <v>10.4673</v>
      </c>
      <c r="D717" s="60">
        <f>10.5049 * CHOOSE(CONTROL!$C$22, $C$13, 100%, $E$13)</f>
        <v>10.504899999999999</v>
      </c>
      <c r="E717" s="61">
        <f>12.6588 * CHOOSE(CONTROL!$C$22, $C$13, 100%, $E$13)</f>
        <v>12.658799999999999</v>
      </c>
      <c r="F717" s="61">
        <f>12.6588 * CHOOSE(CONTROL!$C$22, $C$13, 100%, $E$13)</f>
        <v>12.658799999999999</v>
      </c>
      <c r="G717" s="61">
        <f>12.6611 * CHOOSE(CONTROL!$C$22, $C$13, 100%, $E$13)</f>
        <v>12.661099999999999</v>
      </c>
      <c r="H717" s="61">
        <f>21.2707* CHOOSE(CONTROL!$C$22, $C$13, 100%, $E$13)</f>
        <v>21.270700000000001</v>
      </c>
      <c r="I717" s="61">
        <f>21.273 * CHOOSE(CONTROL!$C$22, $C$13, 100%, $E$13)</f>
        <v>21.273</v>
      </c>
      <c r="J717" s="61">
        <f>12.4135 * CHOOSE(CONTROL!$C$22, $C$13, 100%, $E$13)</f>
        <v>12.413500000000001</v>
      </c>
      <c r="K717" s="61">
        <f>12.6611 * CHOOSE(CONTROL!$C$22, $C$13, 100%, $E$13)</f>
        <v>12.661099999999999</v>
      </c>
    </row>
    <row r="718" spans="1:11" ht="15">
      <c r="A718" s="13">
        <v>63706</v>
      </c>
      <c r="B718" s="60">
        <f>10.4733 * CHOOSE(CONTROL!$C$22, $C$13, 100%, $E$13)</f>
        <v>10.4733</v>
      </c>
      <c r="C718" s="60">
        <f>10.4733 * CHOOSE(CONTROL!$C$22, $C$13, 100%, $E$13)</f>
        <v>10.4733</v>
      </c>
      <c r="D718" s="60">
        <f>10.511 * CHOOSE(CONTROL!$C$22, $C$13, 100%, $E$13)</f>
        <v>10.510999999999999</v>
      </c>
      <c r="E718" s="61">
        <f>12.5985 * CHOOSE(CONTROL!$C$22, $C$13, 100%, $E$13)</f>
        <v>12.5985</v>
      </c>
      <c r="F718" s="61">
        <f>12.5985 * CHOOSE(CONTROL!$C$22, $C$13, 100%, $E$13)</f>
        <v>12.5985</v>
      </c>
      <c r="G718" s="61">
        <f>12.6008 * CHOOSE(CONTROL!$C$22, $C$13, 100%, $E$13)</f>
        <v>12.6008</v>
      </c>
      <c r="H718" s="61">
        <f>21.315* CHOOSE(CONTROL!$C$22, $C$13, 100%, $E$13)</f>
        <v>21.315000000000001</v>
      </c>
      <c r="I718" s="61">
        <f>21.3173 * CHOOSE(CONTROL!$C$22, $C$13, 100%, $E$13)</f>
        <v>21.317299999999999</v>
      </c>
      <c r="J718" s="61">
        <f>12.3547 * CHOOSE(CONTROL!$C$22, $C$13, 100%, $E$13)</f>
        <v>12.354699999999999</v>
      </c>
      <c r="K718" s="61">
        <f>12.6008 * CHOOSE(CONTROL!$C$22, $C$13, 100%, $E$13)</f>
        <v>12.6008</v>
      </c>
    </row>
    <row r="719" spans="1:11" ht="15">
      <c r="A719" s="13">
        <v>63736</v>
      </c>
      <c r="B719" s="60">
        <f>10.6211 * CHOOSE(CONTROL!$C$22, $C$13, 100%, $E$13)</f>
        <v>10.6211</v>
      </c>
      <c r="C719" s="60">
        <f>10.6211 * CHOOSE(CONTROL!$C$22, $C$13, 100%, $E$13)</f>
        <v>10.6211</v>
      </c>
      <c r="D719" s="60">
        <f>10.6587 * CHOOSE(CONTROL!$C$22, $C$13, 100%, $E$13)</f>
        <v>10.6587</v>
      </c>
      <c r="E719" s="61">
        <f>12.829 * CHOOSE(CONTROL!$C$22, $C$13, 100%, $E$13)</f>
        <v>12.829000000000001</v>
      </c>
      <c r="F719" s="61">
        <f>12.829 * CHOOSE(CONTROL!$C$22, $C$13, 100%, $E$13)</f>
        <v>12.829000000000001</v>
      </c>
      <c r="G719" s="61">
        <f>12.8314 * CHOOSE(CONTROL!$C$22, $C$13, 100%, $E$13)</f>
        <v>12.8314</v>
      </c>
      <c r="H719" s="61">
        <f>21.3594* CHOOSE(CONTROL!$C$22, $C$13, 100%, $E$13)</f>
        <v>21.359400000000001</v>
      </c>
      <c r="I719" s="61">
        <f>21.3617 * CHOOSE(CONTROL!$C$22, $C$13, 100%, $E$13)</f>
        <v>21.361699999999999</v>
      </c>
      <c r="J719" s="61">
        <f>12.5811 * CHOOSE(CONTROL!$C$22, $C$13, 100%, $E$13)</f>
        <v>12.581099999999999</v>
      </c>
      <c r="K719" s="61">
        <f>12.8314 * CHOOSE(CONTROL!$C$22, $C$13, 100%, $E$13)</f>
        <v>12.8314</v>
      </c>
    </row>
    <row r="720" spans="1:11" ht="15">
      <c r="A720" s="13">
        <v>63767</v>
      </c>
      <c r="B720" s="60">
        <f>10.6278 * CHOOSE(CONTROL!$C$22, $C$13, 100%, $E$13)</f>
        <v>10.627800000000001</v>
      </c>
      <c r="C720" s="60">
        <f>10.6278 * CHOOSE(CONTROL!$C$22, $C$13, 100%, $E$13)</f>
        <v>10.627800000000001</v>
      </c>
      <c r="D720" s="60">
        <f>10.6654 * CHOOSE(CONTROL!$C$22, $C$13, 100%, $E$13)</f>
        <v>10.6654</v>
      </c>
      <c r="E720" s="61">
        <f>12.64 * CHOOSE(CONTROL!$C$22, $C$13, 100%, $E$13)</f>
        <v>12.64</v>
      </c>
      <c r="F720" s="61">
        <f>12.64 * CHOOSE(CONTROL!$C$22, $C$13, 100%, $E$13)</f>
        <v>12.64</v>
      </c>
      <c r="G720" s="61">
        <f>12.6423 * CHOOSE(CONTROL!$C$22, $C$13, 100%, $E$13)</f>
        <v>12.642300000000001</v>
      </c>
      <c r="H720" s="61">
        <f>21.4039* CHOOSE(CONTROL!$C$22, $C$13, 100%, $E$13)</f>
        <v>21.4039</v>
      </c>
      <c r="I720" s="61">
        <f>21.4062 * CHOOSE(CONTROL!$C$22, $C$13, 100%, $E$13)</f>
        <v>21.406199999999998</v>
      </c>
      <c r="J720" s="61">
        <f>12.3967 * CHOOSE(CONTROL!$C$22, $C$13, 100%, $E$13)</f>
        <v>12.396699999999999</v>
      </c>
      <c r="K720" s="61">
        <f>12.6423 * CHOOSE(CONTROL!$C$22, $C$13, 100%, $E$13)</f>
        <v>12.642300000000001</v>
      </c>
    </row>
    <row r="721" spans="1:11" ht="15">
      <c r="A721" s="13">
        <v>63798</v>
      </c>
      <c r="B721" s="60">
        <f>10.6248 * CHOOSE(CONTROL!$C$22, $C$13, 100%, $E$13)</f>
        <v>10.6248</v>
      </c>
      <c r="C721" s="60">
        <f>10.6248 * CHOOSE(CONTROL!$C$22, $C$13, 100%, $E$13)</f>
        <v>10.6248</v>
      </c>
      <c r="D721" s="60">
        <f>10.6624 * CHOOSE(CONTROL!$C$22, $C$13, 100%, $E$13)</f>
        <v>10.6624</v>
      </c>
      <c r="E721" s="61">
        <f>12.6164 * CHOOSE(CONTROL!$C$22, $C$13, 100%, $E$13)</f>
        <v>12.616400000000001</v>
      </c>
      <c r="F721" s="61">
        <f>12.6164 * CHOOSE(CONTROL!$C$22, $C$13, 100%, $E$13)</f>
        <v>12.616400000000001</v>
      </c>
      <c r="G721" s="61">
        <f>12.6187 * CHOOSE(CONTROL!$C$22, $C$13, 100%, $E$13)</f>
        <v>12.6187</v>
      </c>
      <c r="H721" s="61">
        <f>21.4485* CHOOSE(CONTROL!$C$22, $C$13, 100%, $E$13)</f>
        <v>21.448499999999999</v>
      </c>
      <c r="I721" s="61">
        <f>21.4508 * CHOOSE(CONTROL!$C$22, $C$13, 100%, $E$13)</f>
        <v>21.450800000000001</v>
      </c>
      <c r="J721" s="61">
        <f>12.3735 * CHOOSE(CONTROL!$C$22, $C$13, 100%, $E$13)</f>
        <v>12.3735</v>
      </c>
      <c r="K721" s="61">
        <f>12.6187 * CHOOSE(CONTROL!$C$22, $C$13, 100%, $E$13)</f>
        <v>12.6187</v>
      </c>
    </row>
    <row r="722" spans="1:11" ht="15">
      <c r="A722" s="13">
        <v>63828</v>
      </c>
      <c r="B722" s="60">
        <f>10.645 * CHOOSE(CONTROL!$C$22, $C$13, 100%, $E$13)</f>
        <v>10.645</v>
      </c>
      <c r="C722" s="60">
        <f>10.645 * CHOOSE(CONTROL!$C$22, $C$13, 100%, $E$13)</f>
        <v>10.645</v>
      </c>
      <c r="D722" s="60">
        <f>10.6638 * CHOOSE(CONTROL!$C$22, $C$13, 100%, $E$13)</f>
        <v>10.6638</v>
      </c>
      <c r="E722" s="61">
        <f>12.689 * CHOOSE(CONTROL!$C$22, $C$13, 100%, $E$13)</f>
        <v>12.689</v>
      </c>
      <c r="F722" s="61">
        <f>12.689 * CHOOSE(CONTROL!$C$22, $C$13, 100%, $E$13)</f>
        <v>12.689</v>
      </c>
      <c r="G722" s="61">
        <f>12.6892 * CHOOSE(CONTROL!$C$22, $C$13, 100%, $E$13)</f>
        <v>12.6892</v>
      </c>
      <c r="H722" s="61">
        <f>21.4932* CHOOSE(CONTROL!$C$22, $C$13, 100%, $E$13)</f>
        <v>21.493200000000002</v>
      </c>
      <c r="I722" s="61">
        <f>21.4934 * CHOOSE(CONTROL!$C$22, $C$13, 100%, $E$13)</f>
        <v>21.493400000000001</v>
      </c>
      <c r="J722" s="61">
        <f>12.4441 * CHOOSE(CONTROL!$C$22, $C$13, 100%, $E$13)</f>
        <v>12.444100000000001</v>
      </c>
      <c r="K722" s="61">
        <f>12.6892 * CHOOSE(CONTROL!$C$22, $C$13, 100%, $E$13)</f>
        <v>12.6892</v>
      </c>
    </row>
    <row r="723" spans="1:11" ht="15">
      <c r="A723" s="13">
        <v>63859</v>
      </c>
      <c r="B723" s="60">
        <f>10.6481 * CHOOSE(CONTROL!$C$22, $C$13, 100%, $E$13)</f>
        <v>10.648099999999999</v>
      </c>
      <c r="C723" s="60">
        <f>10.6481 * CHOOSE(CONTROL!$C$22, $C$13, 100%, $E$13)</f>
        <v>10.648099999999999</v>
      </c>
      <c r="D723" s="60">
        <f>10.6669 * CHOOSE(CONTROL!$C$22, $C$13, 100%, $E$13)</f>
        <v>10.6669</v>
      </c>
      <c r="E723" s="61">
        <f>12.7342 * CHOOSE(CONTROL!$C$22, $C$13, 100%, $E$13)</f>
        <v>12.7342</v>
      </c>
      <c r="F723" s="61">
        <f>12.7342 * CHOOSE(CONTROL!$C$22, $C$13, 100%, $E$13)</f>
        <v>12.7342</v>
      </c>
      <c r="G723" s="61">
        <f>12.7344 * CHOOSE(CONTROL!$C$22, $C$13, 100%, $E$13)</f>
        <v>12.734400000000001</v>
      </c>
      <c r="H723" s="61">
        <f>21.538* CHOOSE(CONTROL!$C$22, $C$13, 100%, $E$13)</f>
        <v>21.538</v>
      </c>
      <c r="I723" s="61">
        <f>21.5381 * CHOOSE(CONTROL!$C$22, $C$13, 100%, $E$13)</f>
        <v>21.5381</v>
      </c>
      <c r="J723" s="61">
        <f>12.4883 * CHOOSE(CONTROL!$C$22, $C$13, 100%, $E$13)</f>
        <v>12.488300000000001</v>
      </c>
      <c r="K723" s="61">
        <f>12.7344 * CHOOSE(CONTROL!$C$22, $C$13, 100%, $E$13)</f>
        <v>12.734400000000001</v>
      </c>
    </row>
    <row r="724" spans="1:11" ht="15">
      <c r="A724" s="13">
        <v>63889</v>
      </c>
      <c r="B724" s="60">
        <f>10.6481 * CHOOSE(CONTROL!$C$22, $C$13, 100%, $E$13)</f>
        <v>10.648099999999999</v>
      </c>
      <c r="C724" s="60">
        <f>10.6481 * CHOOSE(CONTROL!$C$22, $C$13, 100%, $E$13)</f>
        <v>10.648099999999999</v>
      </c>
      <c r="D724" s="60">
        <f>10.6669 * CHOOSE(CONTROL!$C$22, $C$13, 100%, $E$13)</f>
        <v>10.6669</v>
      </c>
      <c r="E724" s="61">
        <f>12.6266 * CHOOSE(CONTROL!$C$22, $C$13, 100%, $E$13)</f>
        <v>12.6266</v>
      </c>
      <c r="F724" s="61">
        <f>12.6266 * CHOOSE(CONTROL!$C$22, $C$13, 100%, $E$13)</f>
        <v>12.6266</v>
      </c>
      <c r="G724" s="61">
        <f>12.6268 * CHOOSE(CONTROL!$C$22, $C$13, 100%, $E$13)</f>
        <v>12.626799999999999</v>
      </c>
      <c r="H724" s="61">
        <f>21.5828* CHOOSE(CONTROL!$C$22, $C$13, 100%, $E$13)</f>
        <v>21.582799999999999</v>
      </c>
      <c r="I724" s="61">
        <f>21.583 * CHOOSE(CONTROL!$C$22, $C$13, 100%, $E$13)</f>
        <v>21.582999999999998</v>
      </c>
      <c r="J724" s="61">
        <f>12.3832 * CHOOSE(CONTROL!$C$22, $C$13, 100%, $E$13)</f>
        <v>12.3832</v>
      </c>
      <c r="K724" s="61">
        <f>12.6268 * CHOOSE(CONTROL!$C$22, $C$13, 100%, $E$13)</f>
        <v>12.626799999999999</v>
      </c>
    </row>
    <row r="725" spans="1:11" ht="15">
      <c r="A725" s="13">
        <v>63920</v>
      </c>
      <c r="B725" s="60">
        <f>10.6813 * CHOOSE(CONTROL!$C$22, $C$13, 100%, $E$13)</f>
        <v>10.6813</v>
      </c>
      <c r="C725" s="60">
        <f>10.6813 * CHOOSE(CONTROL!$C$22, $C$13, 100%, $E$13)</f>
        <v>10.6813</v>
      </c>
      <c r="D725" s="60">
        <f>10.7001 * CHOOSE(CONTROL!$C$22, $C$13, 100%, $E$13)</f>
        <v>10.700100000000001</v>
      </c>
      <c r="E725" s="61">
        <f>12.7473 * CHOOSE(CONTROL!$C$22, $C$13, 100%, $E$13)</f>
        <v>12.747299999999999</v>
      </c>
      <c r="F725" s="61">
        <f>12.7473 * CHOOSE(CONTROL!$C$22, $C$13, 100%, $E$13)</f>
        <v>12.747299999999999</v>
      </c>
      <c r="G725" s="61">
        <f>12.7475 * CHOOSE(CONTROL!$C$22, $C$13, 100%, $E$13)</f>
        <v>12.7475</v>
      </c>
      <c r="H725" s="61">
        <f>21.4958* CHOOSE(CONTROL!$C$22, $C$13, 100%, $E$13)</f>
        <v>21.495799999999999</v>
      </c>
      <c r="I725" s="61">
        <f>21.496 * CHOOSE(CONTROL!$C$22, $C$13, 100%, $E$13)</f>
        <v>21.495999999999999</v>
      </c>
      <c r="J725" s="61">
        <f>12.4847 * CHOOSE(CONTROL!$C$22, $C$13, 100%, $E$13)</f>
        <v>12.4847</v>
      </c>
      <c r="K725" s="61">
        <f>12.7475 * CHOOSE(CONTROL!$C$22, $C$13, 100%, $E$13)</f>
        <v>12.7475</v>
      </c>
    </row>
    <row r="726" spans="1:11" ht="15">
      <c r="A726" s="13">
        <v>63951</v>
      </c>
      <c r="B726" s="60">
        <f>10.6783 * CHOOSE(CONTROL!$C$22, $C$13, 100%, $E$13)</f>
        <v>10.6783</v>
      </c>
      <c r="C726" s="60">
        <f>10.6783 * CHOOSE(CONTROL!$C$22, $C$13, 100%, $E$13)</f>
        <v>10.6783</v>
      </c>
      <c r="D726" s="60">
        <f>10.6971 * CHOOSE(CONTROL!$C$22, $C$13, 100%, $E$13)</f>
        <v>10.697100000000001</v>
      </c>
      <c r="E726" s="61">
        <f>12.537 * CHOOSE(CONTROL!$C$22, $C$13, 100%, $E$13)</f>
        <v>12.537000000000001</v>
      </c>
      <c r="F726" s="61">
        <f>12.537 * CHOOSE(CONTROL!$C$22, $C$13, 100%, $E$13)</f>
        <v>12.537000000000001</v>
      </c>
      <c r="G726" s="61">
        <f>12.5371 * CHOOSE(CONTROL!$C$22, $C$13, 100%, $E$13)</f>
        <v>12.537100000000001</v>
      </c>
      <c r="H726" s="61">
        <f>21.5406* CHOOSE(CONTROL!$C$22, $C$13, 100%, $E$13)</f>
        <v>21.540600000000001</v>
      </c>
      <c r="I726" s="61">
        <f>21.5408 * CHOOSE(CONTROL!$C$22, $C$13, 100%, $E$13)</f>
        <v>21.540800000000001</v>
      </c>
      <c r="J726" s="61">
        <f>12.2796 * CHOOSE(CONTROL!$C$22, $C$13, 100%, $E$13)</f>
        <v>12.2796</v>
      </c>
      <c r="K726" s="61">
        <f>12.5371 * CHOOSE(CONTROL!$C$22, $C$13, 100%, $E$13)</f>
        <v>12.537100000000001</v>
      </c>
    </row>
    <row r="727" spans="1:11" ht="15">
      <c r="A727" s="13">
        <v>63979</v>
      </c>
      <c r="B727" s="60">
        <f>10.6752 * CHOOSE(CONTROL!$C$22, $C$13, 100%, $E$13)</f>
        <v>10.6752</v>
      </c>
      <c r="C727" s="60">
        <f>10.6752 * CHOOSE(CONTROL!$C$22, $C$13, 100%, $E$13)</f>
        <v>10.6752</v>
      </c>
      <c r="D727" s="60">
        <f>10.694 * CHOOSE(CONTROL!$C$22, $C$13, 100%, $E$13)</f>
        <v>10.694000000000001</v>
      </c>
      <c r="E727" s="61">
        <f>12.699 * CHOOSE(CONTROL!$C$22, $C$13, 100%, $E$13)</f>
        <v>12.699</v>
      </c>
      <c r="F727" s="61">
        <f>12.699 * CHOOSE(CONTROL!$C$22, $C$13, 100%, $E$13)</f>
        <v>12.699</v>
      </c>
      <c r="G727" s="61">
        <f>12.6992 * CHOOSE(CONTROL!$C$22, $C$13, 100%, $E$13)</f>
        <v>12.699199999999999</v>
      </c>
      <c r="H727" s="61">
        <f>21.5855* CHOOSE(CONTROL!$C$22, $C$13, 100%, $E$13)</f>
        <v>21.5855</v>
      </c>
      <c r="I727" s="61">
        <f>21.5856 * CHOOSE(CONTROL!$C$22, $C$13, 100%, $E$13)</f>
        <v>21.585599999999999</v>
      </c>
      <c r="J727" s="61">
        <f>12.4375 * CHOOSE(CONTROL!$C$22, $C$13, 100%, $E$13)</f>
        <v>12.4375</v>
      </c>
      <c r="K727" s="61">
        <f>12.6992 * CHOOSE(CONTROL!$C$22, $C$13, 100%, $E$13)</f>
        <v>12.699199999999999</v>
      </c>
    </row>
    <row r="728" spans="1:11" ht="15">
      <c r="A728" s="13">
        <v>64010</v>
      </c>
      <c r="B728" s="60">
        <f>10.6795 * CHOOSE(CONTROL!$C$22, $C$13, 100%, $E$13)</f>
        <v>10.679500000000001</v>
      </c>
      <c r="C728" s="60">
        <f>10.6795 * CHOOSE(CONTROL!$C$22, $C$13, 100%, $E$13)</f>
        <v>10.679500000000001</v>
      </c>
      <c r="D728" s="60">
        <f>10.6983 * CHOOSE(CONTROL!$C$22, $C$13, 100%, $E$13)</f>
        <v>10.6983</v>
      </c>
      <c r="E728" s="61">
        <f>12.8711 * CHOOSE(CONTROL!$C$22, $C$13, 100%, $E$13)</f>
        <v>12.8711</v>
      </c>
      <c r="F728" s="61">
        <f>12.8711 * CHOOSE(CONTROL!$C$22, $C$13, 100%, $E$13)</f>
        <v>12.8711</v>
      </c>
      <c r="G728" s="61">
        <f>12.8713 * CHOOSE(CONTROL!$C$22, $C$13, 100%, $E$13)</f>
        <v>12.8713</v>
      </c>
      <c r="H728" s="61">
        <f>21.6304* CHOOSE(CONTROL!$C$22, $C$13, 100%, $E$13)</f>
        <v>21.630400000000002</v>
      </c>
      <c r="I728" s="61">
        <f>21.6306 * CHOOSE(CONTROL!$C$22, $C$13, 100%, $E$13)</f>
        <v>21.630600000000001</v>
      </c>
      <c r="J728" s="61">
        <f>12.6051 * CHOOSE(CONTROL!$C$22, $C$13, 100%, $E$13)</f>
        <v>12.6051</v>
      </c>
      <c r="K728" s="61">
        <f>12.8713 * CHOOSE(CONTROL!$C$22, $C$13, 100%, $E$13)</f>
        <v>12.8713</v>
      </c>
    </row>
    <row r="729" spans="1:11" ht="15">
      <c r="A729" s="13">
        <v>64040</v>
      </c>
      <c r="B729" s="60">
        <f>10.6795 * CHOOSE(CONTROL!$C$22, $C$13, 100%, $E$13)</f>
        <v>10.679500000000001</v>
      </c>
      <c r="C729" s="60">
        <f>10.6795 * CHOOSE(CONTROL!$C$22, $C$13, 100%, $E$13)</f>
        <v>10.679500000000001</v>
      </c>
      <c r="D729" s="60">
        <f>10.7171 * CHOOSE(CONTROL!$C$22, $C$13, 100%, $E$13)</f>
        <v>10.7171</v>
      </c>
      <c r="E729" s="61">
        <f>12.9372 * CHOOSE(CONTROL!$C$22, $C$13, 100%, $E$13)</f>
        <v>12.937200000000001</v>
      </c>
      <c r="F729" s="61">
        <f>12.9372 * CHOOSE(CONTROL!$C$22, $C$13, 100%, $E$13)</f>
        <v>12.937200000000001</v>
      </c>
      <c r="G729" s="61">
        <f>12.9395 * CHOOSE(CONTROL!$C$22, $C$13, 100%, $E$13)</f>
        <v>12.939500000000001</v>
      </c>
      <c r="H729" s="61">
        <f>21.6755* CHOOSE(CONTROL!$C$22, $C$13, 100%, $E$13)</f>
        <v>21.6755</v>
      </c>
      <c r="I729" s="61">
        <f>21.6778 * CHOOSE(CONTROL!$C$22, $C$13, 100%, $E$13)</f>
        <v>21.677800000000001</v>
      </c>
      <c r="J729" s="61">
        <f>12.6696 * CHOOSE(CONTROL!$C$22, $C$13, 100%, $E$13)</f>
        <v>12.669600000000001</v>
      </c>
      <c r="K729" s="61">
        <f>12.9395 * CHOOSE(CONTROL!$C$22, $C$13, 100%, $E$13)</f>
        <v>12.939500000000001</v>
      </c>
    </row>
    <row r="730" spans="1:11" ht="15">
      <c r="A730" s="13">
        <v>64071</v>
      </c>
      <c r="B730" s="60">
        <f>10.6856 * CHOOSE(CONTROL!$C$22, $C$13, 100%, $E$13)</f>
        <v>10.685600000000001</v>
      </c>
      <c r="C730" s="60">
        <f>10.6856 * CHOOSE(CONTROL!$C$22, $C$13, 100%, $E$13)</f>
        <v>10.685600000000001</v>
      </c>
      <c r="D730" s="60">
        <f>10.7232 * CHOOSE(CONTROL!$C$22, $C$13, 100%, $E$13)</f>
        <v>10.7232</v>
      </c>
      <c r="E730" s="61">
        <f>12.8753 * CHOOSE(CONTROL!$C$22, $C$13, 100%, $E$13)</f>
        <v>12.875299999999999</v>
      </c>
      <c r="F730" s="61">
        <f>12.8753 * CHOOSE(CONTROL!$C$22, $C$13, 100%, $E$13)</f>
        <v>12.875299999999999</v>
      </c>
      <c r="G730" s="61">
        <f>12.8777 * CHOOSE(CONTROL!$C$22, $C$13, 100%, $E$13)</f>
        <v>12.877700000000001</v>
      </c>
      <c r="H730" s="61">
        <f>21.7207* CHOOSE(CONTROL!$C$22, $C$13, 100%, $E$13)</f>
        <v>21.720700000000001</v>
      </c>
      <c r="I730" s="61">
        <f>21.723 * CHOOSE(CONTROL!$C$22, $C$13, 100%, $E$13)</f>
        <v>21.722999999999999</v>
      </c>
      <c r="J730" s="61">
        <f>12.6093 * CHOOSE(CONTROL!$C$22, $C$13, 100%, $E$13)</f>
        <v>12.609299999999999</v>
      </c>
      <c r="K730" s="61">
        <f>12.8777 * CHOOSE(CONTROL!$C$22, $C$13, 100%, $E$13)</f>
        <v>12.877700000000001</v>
      </c>
    </row>
    <row r="731" spans="1:11" ht="15">
      <c r="A731" s="13">
        <v>64101</v>
      </c>
      <c r="B731" s="60">
        <f>10.836 * CHOOSE(CONTROL!$C$22, $C$13, 100%, $E$13)</f>
        <v>10.836</v>
      </c>
      <c r="C731" s="60">
        <f>10.836 * CHOOSE(CONTROL!$C$22, $C$13, 100%, $E$13)</f>
        <v>10.836</v>
      </c>
      <c r="D731" s="60">
        <f>10.8737 * CHOOSE(CONTROL!$C$22, $C$13, 100%, $E$13)</f>
        <v>10.873699999999999</v>
      </c>
      <c r="E731" s="61">
        <f>13.1107 * CHOOSE(CONTROL!$C$22, $C$13, 100%, $E$13)</f>
        <v>13.1107</v>
      </c>
      <c r="F731" s="61">
        <f>13.1107 * CHOOSE(CONTROL!$C$22, $C$13, 100%, $E$13)</f>
        <v>13.1107</v>
      </c>
      <c r="G731" s="61">
        <f>13.113 * CHOOSE(CONTROL!$C$22, $C$13, 100%, $E$13)</f>
        <v>13.113</v>
      </c>
      <c r="H731" s="61">
        <f>21.7659* CHOOSE(CONTROL!$C$22, $C$13, 100%, $E$13)</f>
        <v>21.765899999999998</v>
      </c>
      <c r="I731" s="61">
        <f>21.7682 * CHOOSE(CONTROL!$C$22, $C$13, 100%, $E$13)</f>
        <v>21.7682</v>
      </c>
      <c r="J731" s="61">
        <f>12.8402 * CHOOSE(CONTROL!$C$22, $C$13, 100%, $E$13)</f>
        <v>12.840199999999999</v>
      </c>
      <c r="K731" s="61">
        <f>13.113 * CHOOSE(CONTROL!$C$22, $C$13, 100%, $E$13)</f>
        <v>13.113</v>
      </c>
    </row>
    <row r="732" spans="1:11" ht="15">
      <c r="A732" s="13">
        <v>64132</v>
      </c>
      <c r="B732" s="60">
        <f>10.8427 * CHOOSE(CONTROL!$C$22, $C$13, 100%, $E$13)</f>
        <v>10.842700000000001</v>
      </c>
      <c r="C732" s="60">
        <f>10.8427 * CHOOSE(CONTROL!$C$22, $C$13, 100%, $E$13)</f>
        <v>10.842700000000001</v>
      </c>
      <c r="D732" s="60">
        <f>10.8803 * CHOOSE(CONTROL!$C$22, $C$13, 100%, $E$13)</f>
        <v>10.8803</v>
      </c>
      <c r="E732" s="61">
        <f>12.917 * CHOOSE(CONTROL!$C$22, $C$13, 100%, $E$13)</f>
        <v>12.917</v>
      </c>
      <c r="F732" s="61">
        <f>12.917 * CHOOSE(CONTROL!$C$22, $C$13, 100%, $E$13)</f>
        <v>12.917</v>
      </c>
      <c r="G732" s="61">
        <f>12.9193 * CHOOSE(CONTROL!$C$22, $C$13, 100%, $E$13)</f>
        <v>12.9193</v>
      </c>
      <c r="H732" s="61">
        <f>21.8113* CHOOSE(CONTROL!$C$22, $C$13, 100%, $E$13)</f>
        <v>21.811299999999999</v>
      </c>
      <c r="I732" s="61">
        <f>21.8136 * CHOOSE(CONTROL!$C$22, $C$13, 100%, $E$13)</f>
        <v>21.813600000000001</v>
      </c>
      <c r="J732" s="61">
        <f>12.6515 * CHOOSE(CONTROL!$C$22, $C$13, 100%, $E$13)</f>
        <v>12.6515</v>
      </c>
      <c r="K732" s="61">
        <f>12.9193 * CHOOSE(CONTROL!$C$22, $C$13, 100%, $E$13)</f>
        <v>12.9193</v>
      </c>
    </row>
    <row r="733" spans="1:11" ht="15">
      <c r="A733" s="13">
        <v>64163</v>
      </c>
      <c r="B733" s="60">
        <f>10.8397 * CHOOSE(CONTROL!$C$22, $C$13, 100%, $E$13)</f>
        <v>10.839700000000001</v>
      </c>
      <c r="C733" s="60">
        <f>10.8397 * CHOOSE(CONTROL!$C$22, $C$13, 100%, $E$13)</f>
        <v>10.839700000000001</v>
      </c>
      <c r="D733" s="60">
        <f>10.8773 * CHOOSE(CONTROL!$C$22, $C$13, 100%, $E$13)</f>
        <v>10.8773</v>
      </c>
      <c r="E733" s="61">
        <f>12.8929 * CHOOSE(CONTROL!$C$22, $C$13, 100%, $E$13)</f>
        <v>12.892899999999999</v>
      </c>
      <c r="F733" s="61">
        <f>12.8929 * CHOOSE(CONTROL!$C$22, $C$13, 100%, $E$13)</f>
        <v>12.892899999999999</v>
      </c>
      <c r="G733" s="61">
        <f>12.8952 * CHOOSE(CONTROL!$C$22, $C$13, 100%, $E$13)</f>
        <v>12.895200000000001</v>
      </c>
      <c r="H733" s="61">
        <f>21.8567* CHOOSE(CONTROL!$C$22, $C$13, 100%, $E$13)</f>
        <v>21.8567</v>
      </c>
      <c r="I733" s="61">
        <f>21.859 * CHOOSE(CONTROL!$C$22, $C$13, 100%, $E$13)</f>
        <v>21.859000000000002</v>
      </c>
      <c r="J733" s="61">
        <f>12.6279 * CHOOSE(CONTROL!$C$22, $C$13, 100%, $E$13)</f>
        <v>12.6279</v>
      </c>
      <c r="K733" s="61">
        <f>12.8952 * CHOOSE(CONTROL!$C$22, $C$13, 100%, $E$13)</f>
        <v>12.895200000000001</v>
      </c>
    </row>
    <row r="734" spans="1:11" ht="15">
      <c r="A734" s="13">
        <v>64193</v>
      </c>
      <c r="B734" s="60">
        <f>10.8607 * CHOOSE(CONTROL!$C$22, $C$13, 100%, $E$13)</f>
        <v>10.8607</v>
      </c>
      <c r="C734" s="60">
        <f>10.8607 * CHOOSE(CONTROL!$C$22, $C$13, 100%, $E$13)</f>
        <v>10.8607</v>
      </c>
      <c r="D734" s="60">
        <f>10.8796 * CHOOSE(CONTROL!$C$22, $C$13, 100%, $E$13)</f>
        <v>10.8796</v>
      </c>
      <c r="E734" s="61">
        <f>12.9676 * CHOOSE(CONTROL!$C$22, $C$13, 100%, $E$13)</f>
        <v>12.967599999999999</v>
      </c>
      <c r="F734" s="61">
        <f>12.9676 * CHOOSE(CONTROL!$C$22, $C$13, 100%, $E$13)</f>
        <v>12.967599999999999</v>
      </c>
      <c r="G734" s="61">
        <f>12.9678 * CHOOSE(CONTROL!$C$22, $C$13, 100%, $E$13)</f>
        <v>12.9678</v>
      </c>
      <c r="H734" s="61">
        <f>21.9022* CHOOSE(CONTROL!$C$22, $C$13, 100%, $E$13)</f>
        <v>21.902200000000001</v>
      </c>
      <c r="I734" s="61">
        <f>21.9024 * CHOOSE(CONTROL!$C$22, $C$13, 100%, $E$13)</f>
        <v>21.9024</v>
      </c>
      <c r="J734" s="61">
        <f>12.7004 * CHOOSE(CONTROL!$C$22, $C$13, 100%, $E$13)</f>
        <v>12.7004</v>
      </c>
      <c r="K734" s="61">
        <f>12.9678 * CHOOSE(CONTROL!$C$22, $C$13, 100%, $E$13)</f>
        <v>12.9678</v>
      </c>
    </row>
    <row r="735" spans="1:11" ht="15">
      <c r="A735" s="13">
        <v>64224</v>
      </c>
      <c r="B735" s="60">
        <f>10.8638 * CHOOSE(CONTROL!$C$22, $C$13, 100%, $E$13)</f>
        <v>10.863799999999999</v>
      </c>
      <c r="C735" s="60">
        <f>10.8638 * CHOOSE(CONTROL!$C$22, $C$13, 100%, $E$13)</f>
        <v>10.863799999999999</v>
      </c>
      <c r="D735" s="60">
        <f>10.8826 * CHOOSE(CONTROL!$C$22, $C$13, 100%, $E$13)</f>
        <v>10.8826</v>
      </c>
      <c r="E735" s="61">
        <f>13.0138 * CHOOSE(CONTROL!$C$22, $C$13, 100%, $E$13)</f>
        <v>13.0138</v>
      </c>
      <c r="F735" s="61">
        <f>13.0138 * CHOOSE(CONTROL!$C$22, $C$13, 100%, $E$13)</f>
        <v>13.0138</v>
      </c>
      <c r="G735" s="61">
        <f>13.014 * CHOOSE(CONTROL!$C$22, $C$13, 100%, $E$13)</f>
        <v>13.013999999999999</v>
      </c>
      <c r="H735" s="61">
        <f>21.9479* CHOOSE(CONTROL!$C$22, $C$13, 100%, $E$13)</f>
        <v>21.947900000000001</v>
      </c>
      <c r="I735" s="61">
        <f>21.948 * CHOOSE(CONTROL!$C$22, $C$13, 100%, $E$13)</f>
        <v>21.948</v>
      </c>
      <c r="J735" s="61">
        <f>12.7455 * CHOOSE(CONTROL!$C$22, $C$13, 100%, $E$13)</f>
        <v>12.7455</v>
      </c>
      <c r="K735" s="61">
        <f>13.014 * CHOOSE(CONTROL!$C$22, $C$13, 100%, $E$13)</f>
        <v>13.013999999999999</v>
      </c>
    </row>
    <row r="736" spans="1:11" ht="15">
      <c r="A736" s="13">
        <v>64254</v>
      </c>
      <c r="B736" s="60">
        <f>10.8638 * CHOOSE(CONTROL!$C$22, $C$13, 100%, $E$13)</f>
        <v>10.863799999999999</v>
      </c>
      <c r="C736" s="60">
        <f>10.8638 * CHOOSE(CONTROL!$C$22, $C$13, 100%, $E$13)</f>
        <v>10.863799999999999</v>
      </c>
      <c r="D736" s="60">
        <f>10.8826 * CHOOSE(CONTROL!$C$22, $C$13, 100%, $E$13)</f>
        <v>10.8826</v>
      </c>
      <c r="E736" s="61">
        <f>12.9036 * CHOOSE(CONTROL!$C$22, $C$13, 100%, $E$13)</f>
        <v>12.903600000000001</v>
      </c>
      <c r="F736" s="61">
        <f>12.9036 * CHOOSE(CONTROL!$C$22, $C$13, 100%, $E$13)</f>
        <v>12.903600000000001</v>
      </c>
      <c r="G736" s="61">
        <f>12.9038 * CHOOSE(CONTROL!$C$22, $C$13, 100%, $E$13)</f>
        <v>12.9038</v>
      </c>
      <c r="H736" s="61">
        <f>21.9936* CHOOSE(CONTROL!$C$22, $C$13, 100%, $E$13)</f>
        <v>21.993600000000001</v>
      </c>
      <c r="I736" s="61">
        <f>21.9938 * CHOOSE(CONTROL!$C$22, $C$13, 100%, $E$13)</f>
        <v>21.9938</v>
      </c>
      <c r="J736" s="61">
        <f>12.6381 * CHOOSE(CONTROL!$C$22, $C$13, 100%, $E$13)</f>
        <v>12.6381</v>
      </c>
      <c r="K736" s="61">
        <f>12.9038 * CHOOSE(CONTROL!$C$22, $C$13, 100%, $E$13)</f>
        <v>12.9038</v>
      </c>
    </row>
    <row r="737" spans="1:11" ht="15">
      <c r="A737" s="13">
        <v>64285</v>
      </c>
      <c r="B737" s="60">
        <f>10.8933 * CHOOSE(CONTROL!$C$22, $C$13, 100%, $E$13)</f>
        <v>10.8933</v>
      </c>
      <c r="C737" s="60">
        <f>10.8933 * CHOOSE(CONTROL!$C$22, $C$13, 100%, $E$13)</f>
        <v>10.8933</v>
      </c>
      <c r="D737" s="60">
        <f>10.9121 * CHOOSE(CONTROL!$C$22, $C$13, 100%, $E$13)</f>
        <v>10.912100000000001</v>
      </c>
      <c r="E737" s="61">
        <f>13.0211 * CHOOSE(CONTROL!$C$22, $C$13, 100%, $E$13)</f>
        <v>13.021100000000001</v>
      </c>
      <c r="F737" s="61">
        <f>13.0211 * CHOOSE(CONTROL!$C$22, $C$13, 100%, $E$13)</f>
        <v>13.021100000000001</v>
      </c>
      <c r="G737" s="61">
        <f>13.0213 * CHOOSE(CONTROL!$C$22, $C$13, 100%, $E$13)</f>
        <v>13.0213</v>
      </c>
      <c r="H737" s="61">
        <f>21.8973* CHOOSE(CONTROL!$C$22, $C$13, 100%, $E$13)</f>
        <v>21.897300000000001</v>
      </c>
      <c r="I737" s="61">
        <f>21.8974 * CHOOSE(CONTROL!$C$22, $C$13, 100%, $E$13)</f>
        <v>21.897400000000001</v>
      </c>
      <c r="J737" s="61">
        <f>12.7365 * CHOOSE(CONTROL!$C$22, $C$13, 100%, $E$13)</f>
        <v>12.736499999999999</v>
      </c>
      <c r="K737" s="61">
        <f>13.0213 * CHOOSE(CONTROL!$C$22, $C$13, 100%, $E$13)</f>
        <v>13.0213</v>
      </c>
    </row>
    <row r="738" spans="1:11" ht="15">
      <c r="A738" s="13">
        <v>64316</v>
      </c>
      <c r="B738" s="60">
        <f>10.8903 * CHOOSE(CONTROL!$C$22, $C$13, 100%, $E$13)</f>
        <v>10.8903</v>
      </c>
      <c r="C738" s="60">
        <f>10.8903 * CHOOSE(CONTROL!$C$22, $C$13, 100%, $E$13)</f>
        <v>10.8903</v>
      </c>
      <c r="D738" s="60">
        <f>10.9091 * CHOOSE(CONTROL!$C$22, $C$13, 100%, $E$13)</f>
        <v>10.9091</v>
      </c>
      <c r="E738" s="61">
        <f>12.8058 * CHOOSE(CONTROL!$C$22, $C$13, 100%, $E$13)</f>
        <v>12.8058</v>
      </c>
      <c r="F738" s="61">
        <f>12.8058 * CHOOSE(CONTROL!$C$22, $C$13, 100%, $E$13)</f>
        <v>12.8058</v>
      </c>
      <c r="G738" s="61">
        <f>12.806 * CHOOSE(CONTROL!$C$22, $C$13, 100%, $E$13)</f>
        <v>12.805999999999999</v>
      </c>
      <c r="H738" s="61">
        <f>21.9429* CHOOSE(CONTROL!$C$22, $C$13, 100%, $E$13)</f>
        <v>21.942900000000002</v>
      </c>
      <c r="I738" s="61">
        <f>21.9431 * CHOOSE(CONTROL!$C$22, $C$13, 100%, $E$13)</f>
        <v>21.943100000000001</v>
      </c>
      <c r="J738" s="61">
        <f>12.527 * CHOOSE(CONTROL!$C$22, $C$13, 100%, $E$13)</f>
        <v>12.526999999999999</v>
      </c>
      <c r="K738" s="61">
        <f>12.806 * CHOOSE(CONTROL!$C$22, $C$13, 100%, $E$13)</f>
        <v>12.805999999999999</v>
      </c>
    </row>
    <row r="739" spans="1:11" ht="15">
      <c r="A739" s="13">
        <v>64345</v>
      </c>
      <c r="B739" s="60">
        <f>10.8872 * CHOOSE(CONTROL!$C$22, $C$13, 100%, $E$13)</f>
        <v>10.8872</v>
      </c>
      <c r="C739" s="60">
        <f>10.8872 * CHOOSE(CONTROL!$C$22, $C$13, 100%, $E$13)</f>
        <v>10.8872</v>
      </c>
      <c r="D739" s="60">
        <f>10.906 * CHOOSE(CONTROL!$C$22, $C$13, 100%, $E$13)</f>
        <v>10.906000000000001</v>
      </c>
      <c r="E739" s="61">
        <f>12.9717 * CHOOSE(CONTROL!$C$22, $C$13, 100%, $E$13)</f>
        <v>12.9717</v>
      </c>
      <c r="F739" s="61">
        <f>12.9717 * CHOOSE(CONTROL!$C$22, $C$13, 100%, $E$13)</f>
        <v>12.9717</v>
      </c>
      <c r="G739" s="61">
        <f>12.9719 * CHOOSE(CONTROL!$C$22, $C$13, 100%, $E$13)</f>
        <v>12.9719</v>
      </c>
      <c r="H739" s="61">
        <f>21.9886* CHOOSE(CONTROL!$C$22, $C$13, 100%, $E$13)</f>
        <v>21.988600000000002</v>
      </c>
      <c r="I739" s="61">
        <f>21.9888 * CHOOSE(CONTROL!$C$22, $C$13, 100%, $E$13)</f>
        <v>21.988800000000001</v>
      </c>
      <c r="J739" s="61">
        <f>12.6884 * CHOOSE(CONTROL!$C$22, $C$13, 100%, $E$13)</f>
        <v>12.6884</v>
      </c>
      <c r="K739" s="61">
        <f>12.9719 * CHOOSE(CONTROL!$C$22, $C$13, 100%, $E$13)</f>
        <v>12.9719</v>
      </c>
    </row>
    <row r="740" spans="1:11" ht="15">
      <c r="A740" s="13">
        <v>64376</v>
      </c>
      <c r="B740" s="60">
        <f>10.8917 * CHOOSE(CONTROL!$C$22, $C$13, 100%, $E$13)</f>
        <v>10.8917</v>
      </c>
      <c r="C740" s="60">
        <f>10.8917 * CHOOSE(CONTROL!$C$22, $C$13, 100%, $E$13)</f>
        <v>10.8917</v>
      </c>
      <c r="D740" s="60">
        <f>10.9105 * CHOOSE(CONTROL!$C$22, $C$13, 100%, $E$13)</f>
        <v>10.910500000000001</v>
      </c>
      <c r="E740" s="61">
        <f>13.148 * CHOOSE(CONTROL!$C$22, $C$13, 100%, $E$13)</f>
        <v>13.148</v>
      </c>
      <c r="F740" s="61">
        <f>13.148 * CHOOSE(CONTROL!$C$22, $C$13, 100%, $E$13)</f>
        <v>13.148</v>
      </c>
      <c r="G740" s="61">
        <f>13.1482 * CHOOSE(CONTROL!$C$22, $C$13, 100%, $E$13)</f>
        <v>13.148199999999999</v>
      </c>
      <c r="H740" s="61">
        <f>22.0344* CHOOSE(CONTROL!$C$22, $C$13, 100%, $E$13)</f>
        <v>22.034400000000002</v>
      </c>
      <c r="I740" s="61">
        <f>22.0346 * CHOOSE(CONTROL!$C$22, $C$13, 100%, $E$13)</f>
        <v>22.034600000000001</v>
      </c>
      <c r="J740" s="61">
        <f>12.8598 * CHOOSE(CONTROL!$C$22, $C$13, 100%, $E$13)</f>
        <v>12.8598</v>
      </c>
      <c r="K740" s="61">
        <f>13.1482 * CHOOSE(CONTROL!$C$22, $C$13, 100%, $E$13)</f>
        <v>13.148199999999999</v>
      </c>
    </row>
    <row r="741" spans="1:11" ht="15">
      <c r="A741" s="13">
        <v>64406</v>
      </c>
      <c r="B741" s="60">
        <f>10.8917 * CHOOSE(CONTROL!$C$22, $C$13, 100%, $E$13)</f>
        <v>10.8917</v>
      </c>
      <c r="C741" s="60">
        <f>10.8917 * CHOOSE(CONTROL!$C$22, $C$13, 100%, $E$13)</f>
        <v>10.8917</v>
      </c>
      <c r="D741" s="60">
        <f>10.9293 * CHOOSE(CONTROL!$C$22, $C$13, 100%, $E$13)</f>
        <v>10.9293</v>
      </c>
      <c r="E741" s="61">
        <f>13.2157 * CHOOSE(CONTROL!$C$22, $C$13, 100%, $E$13)</f>
        <v>13.2157</v>
      </c>
      <c r="F741" s="61">
        <f>13.2157 * CHOOSE(CONTROL!$C$22, $C$13, 100%, $E$13)</f>
        <v>13.2157</v>
      </c>
      <c r="G741" s="61">
        <f>13.218 * CHOOSE(CONTROL!$C$22, $C$13, 100%, $E$13)</f>
        <v>13.218</v>
      </c>
      <c r="H741" s="61">
        <f>22.0803* CHOOSE(CONTROL!$C$22, $C$13, 100%, $E$13)</f>
        <v>22.080300000000001</v>
      </c>
      <c r="I741" s="61">
        <f>22.0826 * CHOOSE(CONTROL!$C$22, $C$13, 100%, $E$13)</f>
        <v>22.082599999999999</v>
      </c>
      <c r="J741" s="61">
        <f>12.9257 * CHOOSE(CONTROL!$C$22, $C$13, 100%, $E$13)</f>
        <v>12.925700000000001</v>
      </c>
      <c r="K741" s="61">
        <f>13.218 * CHOOSE(CONTROL!$C$22, $C$13, 100%, $E$13)</f>
        <v>13.218</v>
      </c>
    </row>
    <row r="742" spans="1:11" ht="15">
      <c r="A742" s="13">
        <v>64437</v>
      </c>
      <c r="B742" s="60">
        <f>10.8978 * CHOOSE(CONTROL!$C$22, $C$13, 100%, $E$13)</f>
        <v>10.8978</v>
      </c>
      <c r="C742" s="60">
        <f>10.8978 * CHOOSE(CONTROL!$C$22, $C$13, 100%, $E$13)</f>
        <v>10.8978</v>
      </c>
      <c r="D742" s="60">
        <f>10.9354 * CHOOSE(CONTROL!$C$22, $C$13, 100%, $E$13)</f>
        <v>10.9354</v>
      </c>
      <c r="E742" s="61">
        <f>13.1522 * CHOOSE(CONTROL!$C$22, $C$13, 100%, $E$13)</f>
        <v>13.152200000000001</v>
      </c>
      <c r="F742" s="61">
        <f>13.1522 * CHOOSE(CONTROL!$C$22, $C$13, 100%, $E$13)</f>
        <v>13.152200000000001</v>
      </c>
      <c r="G742" s="61">
        <f>13.1545 * CHOOSE(CONTROL!$C$22, $C$13, 100%, $E$13)</f>
        <v>13.154500000000001</v>
      </c>
      <c r="H742" s="61">
        <f>22.1263* CHOOSE(CONTROL!$C$22, $C$13, 100%, $E$13)</f>
        <v>22.126300000000001</v>
      </c>
      <c r="I742" s="61">
        <f>22.1286 * CHOOSE(CONTROL!$C$22, $C$13, 100%, $E$13)</f>
        <v>22.128599999999999</v>
      </c>
      <c r="J742" s="61">
        <f>12.864 * CHOOSE(CONTROL!$C$22, $C$13, 100%, $E$13)</f>
        <v>12.864000000000001</v>
      </c>
      <c r="K742" s="61">
        <f>13.1545 * CHOOSE(CONTROL!$C$22, $C$13, 100%, $E$13)</f>
        <v>13.154500000000001</v>
      </c>
    </row>
    <row r="743" spans="1:11" ht="15">
      <c r="A743" s="13">
        <v>64467</v>
      </c>
      <c r="B743" s="60">
        <f>11.0509 * CHOOSE(CONTROL!$C$22, $C$13, 100%, $E$13)</f>
        <v>11.0509</v>
      </c>
      <c r="C743" s="60">
        <f>11.0509 * CHOOSE(CONTROL!$C$22, $C$13, 100%, $E$13)</f>
        <v>11.0509</v>
      </c>
      <c r="D743" s="60">
        <f>11.0886 * CHOOSE(CONTROL!$C$22, $C$13, 100%, $E$13)</f>
        <v>11.0886</v>
      </c>
      <c r="E743" s="61">
        <f>13.3924 * CHOOSE(CONTROL!$C$22, $C$13, 100%, $E$13)</f>
        <v>13.3924</v>
      </c>
      <c r="F743" s="61">
        <f>13.3924 * CHOOSE(CONTROL!$C$22, $C$13, 100%, $E$13)</f>
        <v>13.3924</v>
      </c>
      <c r="G743" s="61">
        <f>13.3947 * CHOOSE(CONTROL!$C$22, $C$13, 100%, $E$13)</f>
        <v>13.3947</v>
      </c>
      <c r="H743" s="61">
        <f>22.1724* CHOOSE(CONTROL!$C$22, $C$13, 100%, $E$13)</f>
        <v>22.1724</v>
      </c>
      <c r="I743" s="61">
        <f>22.1747 * CHOOSE(CONTROL!$C$22, $C$13, 100%, $E$13)</f>
        <v>22.174700000000001</v>
      </c>
      <c r="J743" s="61">
        <f>13.0993 * CHOOSE(CONTROL!$C$22, $C$13, 100%, $E$13)</f>
        <v>13.099299999999999</v>
      </c>
      <c r="K743" s="61">
        <f>13.3947 * CHOOSE(CONTROL!$C$22, $C$13, 100%, $E$13)</f>
        <v>13.3947</v>
      </c>
    </row>
    <row r="744" spans="1:11" ht="15">
      <c r="A744" s="13">
        <v>64498</v>
      </c>
      <c r="B744" s="60">
        <f>11.0576 * CHOOSE(CONTROL!$C$22, $C$13, 100%, $E$13)</f>
        <v>11.057600000000001</v>
      </c>
      <c r="C744" s="60">
        <f>11.0576 * CHOOSE(CONTROL!$C$22, $C$13, 100%, $E$13)</f>
        <v>11.057600000000001</v>
      </c>
      <c r="D744" s="60">
        <f>11.0953 * CHOOSE(CONTROL!$C$22, $C$13, 100%, $E$13)</f>
        <v>11.0953</v>
      </c>
      <c r="E744" s="61">
        <f>13.194 * CHOOSE(CONTROL!$C$22, $C$13, 100%, $E$13)</f>
        <v>13.194000000000001</v>
      </c>
      <c r="F744" s="61">
        <f>13.194 * CHOOSE(CONTROL!$C$22, $C$13, 100%, $E$13)</f>
        <v>13.194000000000001</v>
      </c>
      <c r="G744" s="61">
        <f>13.1963 * CHOOSE(CONTROL!$C$22, $C$13, 100%, $E$13)</f>
        <v>13.196300000000001</v>
      </c>
      <c r="H744" s="61">
        <f>22.2186* CHOOSE(CONTROL!$C$22, $C$13, 100%, $E$13)</f>
        <v>22.218599999999999</v>
      </c>
      <c r="I744" s="61">
        <f>22.2209 * CHOOSE(CONTROL!$C$22, $C$13, 100%, $E$13)</f>
        <v>22.2209</v>
      </c>
      <c r="J744" s="61">
        <f>12.9063 * CHOOSE(CONTROL!$C$22, $C$13, 100%, $E$13)</f>
        <v>12.9063</v>
      </c>
      <c r="K744" s="61">
        <f>13.1963 * CHOOSE(CONTROL!$C$22, $C$13, 100%, $E$13)</f>
        <v>13.196300000000001</v>
      </c>
    </row>
    <row r="745" spans="1:11" ht="15">
      <c r="A745" s="13">
        <v>64529</v>
      </c>
      <c r="B745" s="60">
        <f>11.0546 * CHOOSE(CONTROL!$C$22, $C$13, 100%, $E$13)</f>
        <v>11.054600000000001</v>
      </c>
      <c r="C745" s="60">
        <f>11.0546 * CHOOSE(CONTROL!$C$22, $C$13, 100%, $E$13)</f>
        <v>11.054600000000001</v>
      </c>
      <c r="D745" s="60">
        <f>11.0922 * CHOOSE(CONTROL!$C$22, $C$13, 100%, $E$13)</f>
        <v>11.0922</v>
      </c>
      <c r="E745" s="61">
        <f>13.1693 * CHOOSE(CONTROL!$C$22, $C$13, 100%, $E$13)</f>
        <v>13.1693</v>
      </c>
      <c r="F745" s="61">
        <f>13.1693 * CHOOSE(CONTROL!$C$22, $C$13, 100%, $E$13)</f>
        <v>13.1693</v>
      </c>
      <c r="G745" s="61">
        <f>13.1717 * CHOOSE(CONTROL!$C$22, $C$13, 100%, $E$13)</f>
        <v>13.1717</v>
      </c>
      <c r="H745" s="61">
        <f>22.2649* CHOOSE(CONTROL!$C$22, $C$13, 100%, $E$13)</f>
        <v>22.264900000000001</v>
      </c>
      <c r="I745" s="61">
        <f>22.2672 * CHOOSE(CONTROL!$C$22, $C$13, 100%, $E$13)</f>
        <v>22.267199999999999</v>
      </c>
      <c r="J745" s="61">
        <f>12.8823 * CHOOSE(CONTROL!$C$22, $C$13, 100%, $E$13)</f>
        <v>12.882300000000001</v>
      </c>
      <c r="K745" s="61">
        <f>13.1717 * CHOOSE(CONTROL!$C$22, $C$13, 100%, $E$13)</f>
        <v>13.1717</v>
      </c>
    </row>
    <row r="746" spans="1:11" ht="15">
      <c r="A746" s="13">
        <v>64559</v>
      </c>
      <c r="B746" s="60">
        <f>11.0765 * CHOOSE(CONTROL!$C$22, $C$13, 100%, $E$13)</f>
        <v>11.076499999999999</v>
      </c>
      <c r="C746" s="60">
        <f>11.0765 * CHOOSE(CONTROL!$C$22, $C$13, 100%, $E$13)</f>
        <v>11.076499999999999</v>
      </c>
      <c r="D746" s="60">
        <f>11.0953 * CHOOSE(CONTROL!$C$22, $C$13, 100%, $E$13)</f>
        <v>11.0953</v>
      </c>
      <c r="E746" s="61">
        <f>13.2462 * CHOOSE(CONTROL!$C$22, $C$13, 100%, $E$13)</f>
        <v>13.2462</v>
      </c>
      <c r="F746" s="61">
        <f>13.2462 * CHOOSE(CONTROL!$C$22, $C$13, 100%, $E$13)</f>
        <v>13.2462</v>
      </c>
      <c r="G746" s="61">
        <f>13.2463 * CHOOSE(CONTROL!$C$22, $C$13, 100%, $E$13)</f>
        <v>13.2463</v>
      </c>
      <c r="H746" s="61">
        <f>22.3113* CHOOSE(CONTROL!$C$22, $C$13, 100%, $E$13)</f>
        <v>22.311299999999999</v>
      </c>
      <c r="I746" s="61">
        <f>22.3115 * CHOOSE(CONTROL!$C$22, $C$13, 100%, $E$13)</f>
        <v>22.311499999999999</v>
      </c>
      <c r="J746" s="61">
        <f>12.9567 * CHOOSE(CONTROL!$C$22, $C$13, 100%, $E$13)</f>
        <v>12.9567</v>
      </c>
      <c r="K746" s="61">
        <f>13.2463 * CHOOSE(CONTROL!$C$22, $C$13, 100%, $E$13)</f>
        <v>13.2463</v>
      </c>
    </row>
    <row r="747" spans="1:11" ht="15">
      <c r="A747" s="13">
        <v>64590</v>
      </c>
      <c r="B747" s="60">
        <f>11.0795 * CHOOSE(CONTROL!$C$22, $C$13, 100%, $E$13)</f>
        <v>11.079499999999999</v>
      </c>
      <c r="C747" s="60">
        <f>11.0795 * CHOOSE(CONTROL!$C$22, $C$13, 100%, $E$13)</f>
        <v>11.079499999999999</v>
      </c>
      <c r="D747" s="60">
        <f>11.0983 * CHOOSE(CONTROL!$C$22, $C$13, 100%, $E$13)</f>
        <v>11.0983</v>
      </c>
      <c r="E747" s="61">
        <f>13.2934 * CHOOSE(CONTROL!$C$22, $C$13, 100%, $E$13)</f>
        <v>13.2934</v>
      </c>
      <c r="F747" s="61">
        <f>13.2934 * CHOOSE(CONTROL!$C$22, $C$13, 100%, $E$13)</f>
        <v>13.2934</v>
      </c>
      <c r="G747" s="61">
        <f>13.2936 * CHOOSE(CONTROL!$C$22, $C$13, 100%, $E$13)</f>
        <v>13.2936</v>
      </c>
      <c r="H747" s="61">
        <f>22.3578* CHOOSE(CONTROL!$C$22, $C$13, 100%, $E$13)</f>
        <v>22.357800000000001</v>
      </c>
      <c r="I747" s="61">
        <f>22.3579 * CHOOSE(CONTROL!$C$22, $C$13, 100%, $E$13)</f>
        <v>22.357900000000001</v>
      </c>
      <c r="J747" s="61">
        <f>13.0027 * CHOOSE(CONTROL!$C$22, $C$13, 100%, $E$13)</f>
        <v>13.002700000000001</v>
      </c>
      <c r="K747" s="61">
        <f>13.2936 * CHOOSE(CONTROL!$C$22, $C$13, 100%, $E$13)</f>
        <v>13.2936</v>
      </c>
    </row>
    <row r="748" spans="1:11" ht="15">
      <c r="A748" s="13">
        <v>64620</v>
      </c>
      <c r="B748" s="60">
        <f>11.0795 * CHOOSE(CONTROL!$C$22, $C$13, 100%, $E$13)</f>
        <v>11.079499999999999</v>
      </c>
      <c r="C748" s="60">
        <f>11.0795 * CHOOSE(CONTROL!$C$22, $C$13, 100%, $E$13)</f>
        <v>11.079499999999999</v>
      </c>
      <c r="D748" s="60">
        <f>11.0983 * CHOOSE(CONTROL!$C$22, $C$13, 100%, $E$13)</f>
        <v>11.0983</v>
      </c>
      <c r="E748" s="61">
        <f>13.1806 * CHOOSE(CONTROL!$C$22, $C$13, 100%, $E$13)</f>
        <v>13.1806</v>
      </c>
      <c r="F748" s="61">
        <f>13.1806 * CHOOSE(CONTROL!$C$22, $C$13, 100%, $E$13)</f>
        <v>13.1806</v>
      </c>
      <c r="G748" s="61">
        <f>13.1808 * CHOOSE(CONTROL!$C$22, $C$13, 100%, $E$13)</f>
        <v>13.1808</v>
      </c>
      <c r="H748" s="61">
        <f>22.4043* CHOOSE(CONTROL!$C$22, $C$13, 100%, $E$13)</f>
        <v>22.404299999999999</v>
      </c>
      <c r="I748" s="61">
        <f>22.4045 * CHOOSE(CONTROL!$C$22, $C$13, 100%, $E$13)</f>
        <v>22.404499999999999</v>
      </c>
      <c r="J748" s="61">
        <f>12.8929 * CHOOSE(CONTROL!$C$22, $C$13, 100%, $E$13)</f>
        <v>12.892899999999999</v>
      </c>
      <c r="K748" s="61">
        <f>13.1808 * CHOOSE(CONTROL!$C$22, $C$13, 100%, $E$13)</f>
        <v>13.1808</v>
      </c>
    </row>
    <row r="749" spans="1:11" ht="15">
      <c r="A749" s="13">
        <v>64651</v>
      </c>
      <c r="B749" s="60">
        <f>11.1053 * CHOOSE(CONTROL!$C$22, $C$13, 100%, $E$13)</f>
        <v>11.1053</v>
      </c>
      <c r="C749" s="60">
        <f>11.1053 * CHOOSE(CONTROL!$C$22, $C$13, 100%, $E$13)</f>
        <v>11.1053</v>
      </c>
      <c r="D749" s="60">
        <f>11.1241 * CHOOSE(CONTROL!$C$22, $C$13, 100%, $E$13)</f>
        <v>11.1241</v>
      </c>
      <c r="E749" s="61">
        <f>13.2949 * CHOOSE(CONTROL!$C$22, $C$13, 100%, $E$13)</f>
        <v>13.2949</v>
      </c>
      <c r="F749" s="61">
        <f>13.2949 * CHOOSE(CONTROL!$C$22, $C$13, 100%, $E$13)</f>
        <v>13.2949</v>
      </c>
      <c r="G749" s="61">
        <f>13.295 * CHOOSE(CONTROL!$C$22, $C$13, 100%, $E$13)</f>
        <v>13.295</v>
      </c>
      <c r="H749" s="61">
        <f>22.2987* CHOOSE(CONTROL!$C$22, $C$13, 100%, $E$13)</f>
        <v>22.2987</v>
      </c>
      <c r="I749" s="61">
        <f>22.2989 * CHOOSE(CONTROL!$C$22, $C$13, 100%, $E$13)</f>
        <v>22.2989</v>
      </c>
      <c r="J749" s="61">
        <f>12.9884 * CHOOSE(CONTROL!$C$22, $C$13, 100%, $E$13)</f>
        <v>12.9884</v>
      </c>
      <c r="K749" s="61">
        <f>13.295 * CHOOSE(CONTROL!$C$22, $C$13, 100%, $E$13)</f>
        <v>13.295</v>
      </c>
    </row>
    <row r="750" spans="1:11" ht="15">
      <c r="A750" s="13">
        <v>64682</v>
      </c>
      <c r="B750" s="60">
        <f>11.1023 * CHOOSE(CONTROL!$C$22, $C$13, 100%, $E$13)</f>
        <v>11.1023</v>
      </c>
      <c r="C750" s="60">
        <f>11.1023 * CHOOSE(CONTROL!$C$22, $C$13, 100%, $E$13)</f>
        <v>11.1023</v>
      </c>
      <c r="D750" s="60">
        <f>11.1211 * CHOOSE(CONTROL!$C$22, $C$13, 100%, $E$13)</f>
        <v>11.1211</v>
      </c>
      <c r="E750" s="61">
        <f>13.0746 * CHOOSE(CONTROL!$C$22, $C$13, 100%, $E$13)</f>
        <v>13.0746</v>
      </c>
      <c r="F750" s="61">
        <f>13.0746 * CHOOSE(CONTROL!$C$22, $C$13, 100%, $E$13)</f>
        <v>13.0746</v>
      </c>
      <c r="G750" s="61">
        <f>13.0748 * CHOOSE(CONTROL!$C$22, $C$13, 100%, $E$13)</f>
        <v>13.0748</v>
      </c>
      <c r="H750" s="61">
        <f>22.3452* CHOOSE(CONTROL!$C$22, $C$13, 100%, $E$13)</f>
        <v>22.345199999999998</v>
      </c>
      <c r="I750" s="61">
        <f>22.3454 * CHOOSE(CONTROL!$C$22, $C$13, 100%, $E$13)</f>
        <v>22.345400000000001</v>
      </c>
      <c r="J750" s="61">
        <f>12.7743 * CHOOSE(CONTROL!$C$22, $C$13, 100%, $E$13)</f>
        <v>12.7743</v>
      </c>
      <c r="K750" s="61">
        <f>13.0748 * CHOOSE(CONTROL!$C$22, $C$13, 100%, $E$13)</f>
        <v>13.0748</v>
      </c>
    </row>
    <row r="751" spans="1:11" ht="15">
      <c r="A751" s="13">
        <v>64710</v>
      </c>
      <c r="B751" s="60">
        <f>11.0992 * CHOOSE(CONTROL!$C$22, $C$13, 100%, $E$13)</f>
        <v>11.0992</v>
      </c>
      <c r="C751" s="60">
        <f>11.0992 * CHOOSE(CONTROL!$C$22, $C$13, 100%, $E$13)</f>
        <v>11.0992</v>
      </c>
      <c r="D751" s="60">
        <f>11.1181 * CHOOSE(CONTROL!$C$22, $C$13, 100%, $E$13)</f>
        <v>11.1181</v>
      </c>
      <c r="E751" s="61">
        <f>13.2445 * CHOOSE(CONTROL!$C$22, $C$13, 100%, $E$13)</f>
        <v>13.2445</v>
      </c>
      <c r="F751" s="61">
        <f>13.2445 * CHOOSE(CONTROL!$C$22, $C$13, 100%, $E$13)</f>
        <v>13.2445</v>
      </c>
      <c r="G751" s="61">
        <f>13.2446 * CHOOSE(CONTROL!$C$22, $C$13, 100%, $E$13)</f>
        <v>13.2446</v>
      </c>
      <c r="H751" s="61">
        <f>22.3917* CHOOSE(CONTROL!$C$22, $C$13, 100%, $E$13)</f>
        <v>22.3917</v>
      </c>
      <c r="I751" s="61">
        <f>22.3919 * CHOOSE(CONTROL!$C$22, $C$13, 100%, $E$13)</f>
        <v>22.3919</v>
      </c>
      <c r="J751" s="61">
        <f>12.9393 * CHOOSE(CONTROL!$C$22, $C$13, 100%, $E$13)</f>
        <v>12.939299999999999</v>
      </c>
      <c r="K751" s="61">
        <f>13.2446 * CHOOSE(CONTROL!$C$22, $C$13, 100%, $E$13)</f>
        <v>13.2446</v>
      </c>
    </row>
    <row r="752" spans="1:11" ht="15">
      <c r="A752" s="13">
        <v>64741</v>
      </c>
      <c r="B752" s="60">
        <f>11.1039 * CHOOSE(CONTROL!$C$22, $C$13, 100%, $E$13)</f>
        <v>11.103899999999999</v>
      </c>
      <c r="C752" s="60">
        <f>11.1039 * CHOOSE(CONTROL!$C$22, $C$13, 100%, $E$13)</f>
        <v>11.103899999999999</v>
      </c>
      <c r="D752" s="60">
        <f>11.1227 * CHOOSE(CONTROL!$C$22, $C$13, 100%, $E$13)</f>
        <v>11.1227</v>
      </c>
      <c r="E752" s="61">
        <f>13.4249 * CHOOSE(CONTROL!$C$22, $C$13, 100%, $E$13)</f>
        <v>13.424899999999999</v>
      </c>
      <c r="F752" s="61">
        <f>13.4249 * CHOOSE(CONTROL!$C$22, $C$13, 100%, $E$13)</f>
        <v>13.424899999999999</v>
      </c>
      <c r="G752" s="61">
        <f>13.425 * CHOOSE(CONTROL!$C$22, $C$13, 100%, $E$13)</f>
        <v>13.425000000000001</v>
      </c>
      <c r="H752" s="61">
        <f>22.4384* CHOOSE(CONTROL!$C$22, $C$13, 100%, $E$13)</f>
        <v>22.438400000000001</v>
      </c>
      <c r="I752" s="61">
        <f>22.4386 * CHOOSE(CONTROL!$C$22, $C$13, 100%, $E$13)</f>
        <v>22.438600000000001</v>
      </c>
      <c r="J752" s="61">
        <f>13.1145 * CHOOSE(CONTROL!$C$22, $C$13, 100%, $E$13)</f>
        <v>13.1145</v>
      </c>
      <c r="K752" s="61">
        <f>13.425 * CHOOSE(CONTROL!$C$22, $C$13, 100%, $E$13)</f>
        <v>13.425000000000001</v>
      </c>
    </row>
    <row r="753" spans="1:11" ht="15">
      <c r="A753" s="13">
        <v>64771</v>
      </c>
      <c r="B753" s="60">
        <f>11.1039 * CHOOSE(CONTROL!$C$22, $C$13, 100%, $E$13)</f>
        <v>11.103899999999999</v>
      </c>
      <c r="C753" s="60">
        <f>11.1039 * CHOOSE(CONTROL!$C$22, $C$13, 100%, $E$13)</f>
        <v>11.103899999999999</v>
      </c>
      <c r="D753" s="60">
        <f>11.1415 * CHOOSE(CONTROL!$C$22, $C$13, 100%, $E$13)</f>
        <v>11.141500000000001</v>
      </c>
      <c r="E753" s="61">
        <f>13.4941 * CHOOSE(CONTROL!$C$22, $C$13, 100%, $E$13)</f>
        <v>13.4941</v>
      </c>
      <c r="F753" s="61">
        <f>13.4941 * CHOOSE(CONTROL!$C$22, $C$13, 100%, $E$13)</f>
        <v>13.4941</v>
      </c>
      <c r="G753" s="61">
        <f>13.4964 * CHOOSE(CONTROL!$C$22, $C$13, 100%, $E$13)</f>
        <v>13.4964</v>
      </c>
      <c r="H753" s="61">
        <f>22.4851* CHOOSE(CONTROL!$C$22, $C$13, 100%, $E$13)</f>
        <v>22.485099999999999</v>
      </c>
      <c r="I753" s="61">
        <f>22.4875 * CHOOSE(CONTROL!$C$22, $C$13, 100%, $E$13)</f>
        <v>22.487500000000001</v>
      </c>
      <c r="J753" s="61">
        <f>13.1817 * CHOOSE(CONTROL!$C$22, $C$13, 100%, $E$13)</f>
        <v>13.181699999999999</v>
      </c>
      <c r="K753" s="61">
        <f>13.4964 * CHOOSE(CONTROL!$C$22, $C$13, 100%, $E$13)</f>
        <v>13.4964</v>
      </c>
    </row>
    <row r="754" spans="1:11" ht="15">
      <c r="A754" s="13">
        <v>64802</v>
      </c>
      <c r="B754" s="60">
        <f>11.11 * CHOOSE(CONTROL!$C$22, $C$13, 100%, $E$13)</f>
        <v>11.11</v>
      </c>
      <c r="C754" s="60">
        <f>11.11 * CHOOSE(CONTROL!$C$22, $C$13, 100%, $E$13)</f>
        <v>11.11</v>
      </c>
      <c r="D754" s="60">
        <f>11.1476 * CHOOSE(CONTROL!$C$22, $C$13, 100%, $E$13)</f>
        <v>11.147600000000001</v>
      </c>
      <c r="E754" s="61">
        <f>13.4291 * CHOOSE(CONTROL!$C$22, $C$13, 100%, $E$13)</f>
        <v>13.4291</v>
      </c>
      <c r="F754" s="61">
        <f>13.4291 * CHOOSE(CONTROL!$C$22, $C$13, 100%, $E$13)</f>
        <v>13.4291</v>
      </c>
      <c r="G754" s="61">
        <f>13.4314 * CHOOSE(CONTROL!$C$22, $C$13, 100%, $E$13)</f>
        <v>13.4314</v>
      </c>
      <c r="H754" s="61">
        <f>22.532* CHOOSE(CONTROL!$C$22, $C$13, 100%, $E$13)</f>
        <v>22.532</v>
      </c>
      <c r="I754" s="61">
        <f>22.5343 * CHOOSE(CONTROL!$C$22, $C$13, 100%, $E$13)</f>
        <v>22.534300000000002</v>
      </c>
      <c r="J754" s="61">
        <f>13.1187 * CHOOSE(CONTROL!$C$22, $C$13, 100%, $E$13)</f>
        <v>13.1187</v>
      </c>
      <c r="K754" s="61">
        <f>13.4314 * CHOOSE(CONTROL!$C$22, $C$13, 100%, $E$13)</f>
        <v>13.4314</v>
      </c>
    </row>
    <row r="755" spans="1:11" ht="15">
      <c r="A755" s="13">
        <v>64832</v>
      </c>
      <c r="B755" s="60">
        <f>11.2659 * CHOOSE(CONTROL!$C$22, $C$13, 100%, $E$13)</f>
        <v>11.2659</v>
      </c>
      <c r="C755" s="60">
        <f>11.2659 * CHOOSE(CONTROL!$C$22, $C$13, 100%, $E$13)</f>
        <v>11.2659</v>
      </c>
      <c r="D755" s="60">
        <f>11.3035 * CHOOSE(CONTROL!$C$22, $C$13, 100%, $E$13)</f>
        <v>11.3035</v>
      </c>
      <c r="E755" s="61">
        <f>13.6741 * CHOOSE(CONTROL!$C$22, $C$13, 100%, $E$13)</f>
        <v>13.674099999999999</v>
      </c>
      <c r="F755" s="61">
        <f>13.6741 * CHOOSE(CONTROL!$C$22, $C$13, 100%, $E$13)</f>
        <v>13.674099999999999</v>
      </c>
      <c r="G755" s="61">
        <f>13.6764 * CHOOSE(CONTROL!$C$22, $C$13, 100%, $E$13)</f>
        <v>13.676399999999999</v>
      </c>
      <c r="H755" s="61">
        <f>22.5789* CHOOSE(CONTROL!$C$22, $C$13, 100%, $E$13)</f>
        <v>22.578900000000001</v>
      </c>
      <c r="I755" s="61">
        <f>22.5812 * CHOOSE(CONTROL!$C$22, $C$13, 100%, $E$13)</f>
        <v>22.581199999999999</v>
      </c>
      <c r="J755" s="61">
        <f>13.3584 * CHOOSE(CONTROL!$C$22, $C$13, 100%, $E$13)</f>
        <v>13.3584</v>
      </c>
      <c r="K755" s="61">
        <f>13.6764 * CHOOSE(CONTROL!$C$22, $C$13, 100%, $E$13)</f>
        <v>13.676399999999999</v>
      </c>
    </row>
    <row r="756" spans="1:11" ht="15">
      <c r="A756" s="13">
        <v>64863</v>
      </c>
      <c r="B756" s="60">
        <f>11.2725 * CHOOSE(CONTROL!$C$22, $C$13, 100%, $E$13)</f>
        <v>11.272500000000001</v>
      </c>
      <c r="C756" s="60">
        <f>11.2725 * CHOOSE(CONTROL!$C$22, $C$13, 100%, $E$13)</f>
        <v>11.272500000000001</v>
      </c>
      <c r="D756" s="60">
        <f>11.3102 * CHOOSE(CONTROL!$C$22, $C$13, 100%, $E$13)</f>
        <v>11.3102</v>
      </c>
      <c r="E756" s="61">
        <f>13.471 * CHOOSE(CONTROL!$C$22, $C$13, 100%, $E$13)</f>
        <v>13.471</v>
      </c>
      <c r="F756" s="61">
        <f>13.471 * CHOOSE(CONTROL!$C$22, $C$13, 100%, $E$13)</f>
        <v>13.471</v>
      </c>
      <c r="G756" s="61">
        <f>13.4733 * CHOOSE(CONTROL!$C$22, $C$13, 100%, $E$13)</f>
        <v>13.4733</v>
      </c>
      <c r="H756" s="61">
        <f>22.626* CHOOSE(CONTROL!$C$22, $C$13, 100%, $E$13)</f>
        <v>22.626000000000001</v>
      </c>
      <c r="I756" s="61">
        <f>22.6283 * CHOOSE(CONTROL!$C$22, $C$13, 100%, $E$13)</f>
        <v>22.628299999999999</v>
      </c>
      <c r="J756" s="61">
        <f>13.1612 * CHOOSE(CONTROL!$C$22, $C$13, 100%, $E$13)</f>
        <v>13.161199999999999</v>
      </c>
      <c r="K756" s="61">
        <f>13.4733 * CHOOSE(CONTROL!$C$22, $C$13, 100%, $E$13)</f>
        <v>13.4733</v>
      </c>
    </row>
    <row r="757" spans="1:11" ht="15">
      <c r="A757" s="13">
        <v>64894</v>
      </c>
      <c r="B757" s="60">
        <f>11.2695 * CHOOSE(CONTROL!$C$22, $C$13, 100%, $E$13)</f>
        <v>11.269500000000001</v>
      </c>
      <c r="C757" s="60">
        <f>11.2695 * CHOOSE(CONTROL!$C$22, $C$13, 100%, $E$13)</f>
        <v>11.269500000000001</v>
      </c>
      <c r="D757" s="60">
        <f>11.3071 * CHOOSE(CONTROL!$C$22, $C$13, 100%, $E$13)</f>
        <v>11.3071</v>
      </c>
      <c r="E757" s="61">
        <f>13.4458 * CHOOSE(CONTROL!$C$22, $C$13, 100%, $E$13)</f>
        <v>13.4458</v>
      </c>
      <c r="F757" s="61">
        <f>13.4458 * CHOOSE(CONTROL!$C$22, $C$13, 100%, $E$13)</f>
        <v>13.4458</v>
      </c>
      <c r="G757" s="61">
        <f>13.4481 * CHOOSE(CONTROL!$C$22, $C$13, 100%, $E$13)</f>
        <v>13.4481</v>
      </c>
      <c r="H757" s="61">
        <f>22.6731* CHOOSE(CONTROL!$C$22, $C$13, 100%, $E$13)</f>
        <v>22.673100000000002</v>
      </c>
      <c r="I757" s="61">
        <f>22.6754 * CHOOSE(CONTROL!$C$22, $C$13, 100%, $E$13)</f>
        <v>22.6754</v>
      </c>
      <c r="J757" s="61">
        <f>13.1366 * CHOOSE(CONTROL!$C$22, $C$13, 100%, $E$13)</f>
        <v>13.1366</v>
      </c>
      <c r="K757" s="61">
        <f>13.4481 * CHOOSE(CONTROL!$C$22, $C$13, 100%, $E$13)</f>
        <v>13.4481</v>
      </c>
    </row>
    <row r="758" spans="1:11" ht="15">
      <c r="A758" s="13">
        <v>64924</v>
      </c>
      <c r="B758" s="60">
        <f>11.2922 * CHOOSE(CONTROL!$C$22, $C$13, 100%, $E$13)</f>
        <v>11.292199999999999</v>
      </c>
      <c r="C758" s="60">
        <f>11.2922 * CHOOSE(CONTROL!$C$22, $C$13, 100%, $E$13)</f>
        <v>11.292199999999999</v>
      </c>
      <c r="D758" s="60">
        <f>11.311 * CHOOSE(CONTROL!$C$22, $C$13, 100%, $E$13)</f>
        <v>11.311</v>
      </c>
      <c r="E758" s="61">
        <f>13.5247 * CHOOSE(CONTROL!$C$22, $C$13, 100%, $E$13)</f>
        <v>13.524699999999999</v>
      </c>
      <c r="F758" s="61">
        <f>13.5247 * CHOOSE(CONTROL!$C$22, $C$13, 100%, $E$13)</f>
        <v>13.524699999999999</v>
      </c>
      <c r="G758" s="61">
        <f>13.5249 * CHOOSE(CONTROL!$C$22, $C$13, 100%, $E$13)</f>
        <v>13.524900000000001</v>
      </c>
      <c r="H758" s="61">
        <f>22.7203* CHOOSE(CONTROL!$C$22, $C$13, 100%, $E$13)</f>
        <v>22.720300000000002</v>
      </c>
      <c r="I758" s="61">
        <f>22.7205 * CHOOSE(CONTROL!$C$22, $C$13, 100%, $E$13)</f>
        <v>22.720500000000001</v>
      </c>
      <c r="J758" s="61">
        <f>13.2129 * CHOOSE(CONTROL!$C$22, $C$13, 100%, $E$13)</f>
        <v>13.212899999999999</v>
      </c>
      <c r="K758" s="61">
        <f>13.5249 * CHOOSE(CONTROL!$C$22, $C$13, 100%, $E$13)</f>
        <v>13.524900000000001</v>
      </c>
    </row>
    <row r="759" spans="1:11" ht="15">
      <c r="A759" s="13">
        <v>64955</v>
      </c>
      <c r="B759" s="60">
        <f>11.2952 * CHOOSE(CONTROL!$C$22, $C$13, 100%, $E$13)</f>
        <v>11.295199999999999</v>
      </c>
      <c r="C759" s="60">
        <f>11.2952 * CHOOSE(CONTROL!$C$22, $C$13, 100%, $E$13)</f>
        <v>11.295199999999999</v>
      </c>
      <c r="D759" s="60">
        <f>11.3141 * CHOOSE(CONTROL!$C$22, $C$13, 100%, $E$13)</f>
        <v>11.3141</v>
      </c>
      <c r="E759" s="61">
        <f>13.573 * CHOOSE(CONTROL!$C$22, $C$13, 100%, $E$13)</f>
        <v>13.573</v>
      </c>
      <c r="F759" s="61">
        <f>13.573 * CHOOSE(CONTROL!$C$22, $C$13, 100%, $E$13)</f>
        <v>13.573</v>
      </c>
      <c r="G759" s="61">
        <f>13.5732 * CHOOSE(CONTROL!$C$22, $C$13, 100%, $E$13)</f>
        <v>13.5732</v>
      </c>
      <c r="H759" s="61">
        <f>22.7677* CHOOSE(CONTROL!$C$22, $C$13, 100%, $E$13)</f>
        <v>22.767700000000001</v>
      </c>
      <c r="I759" s="61">
        <f>22.7678 * CHOOSE(CONTROL!$C$22, $C$13, 100%, $E$13)</f>
        <v>22.767800000000001</v>
      </c>
      <c r="J759" s="61">
        <f>13.2599 * CHOOSE(CONTROL!$C$22, $C$13, 100%, $E$13)</f>
        <v>13.2599</v>
      </c>
      <c r="K759" s="61">
        <f>13.5732 * CHOOSE(CONTROL!$C$22, $C$13, 100%, $E$13)</f>
        <v>13.5732</v>
      </c>
    </row>
    <row r="760" spans="1:11" ht="15">
      <c r="A760" s="13">
        <v>64985</v>
      </c>
      <c r="B760" s="60">
        <f>11.2952 * CHOOSE(CONTROL!$C$22, $C$13, 100%, $E$13)</f>
        <v>11.295199999999999</v>
      </c>
      <c r="C760" s="60">
        <f>11.2952 * CHOOSE(CONTROL!$C$22, $C$13, 100%, $E$13)</f>
        <v>11.295199999999999</v>
      </c>
      <c r="D760" s="60">
        <f>11.3141 * CHOOSE(CONTROL!$C$22, $C$13, 100%, $E$13)</f>
        <v>11.3141</v>
      </c>
      <c r="E760" s="61">
        <f>13.4576 * CHOOSE(CONTROL!$C$22, $C$13, 100%, $E$13)</f>
        <v>13.457599999999999</v>
      </c>
      <c r="F760" s="61">
        <f>13.4576 * CHOOSE(CONTROL!$C$22, $C$13, 100%, $E$13)</f>
        <v>13.457599999999999</v>
      </c>
      <c r="G760" s="61">
        <f>13.4578 * CHOOSE(CONTROL!$C$22, $C$13, 100%, $E$13)</f>
        <v>13.457800000000001</v>
      </c>
      <c r="H760" s="61">
        <f>22.8151* CHOOSE(CONTROL!$C$22, $C$13, 100%, $E$13)</f>
        <v>22.815100000000001</v>
      </c>
      <c r="I760" s="61">
        <f>22.8153 * CHOOSE(CONTROL!$C$22, $C$13, 100%, $E$13)</f>
        <v>22.815300000000001</v>
      </c>
      <c r="J760" s="61">
        <f>13.1478 * CHOOSE(CONTROL!$C$22, $C$13, 100%, $E$13)</f>
        <v>13.1478</v>
      </c>
      <c r="K760" s="61">
        <f>13.4578 * CHOOSE(CONTROL!$C$22, $C$13, 100%, $E$13)</f>
        <v>13.457800000000001</v>
      </c>
    </row>
    <row r="761" spans="1:11" ht="15">
      <c r="A761" s="13">
        <v>65016</v>
      </c>
      <c r="B761" s="60">
        <f>11.3173 * CHOOSE(CONTROL!$C$22, $C$13, 100%, $E$13)</f>
        <v>11.317299999999999</v>
      </c>
      <c r="C761" s="60">
        <f>11.3173 * CHOOSE(CONTROL!$C$22, $C$13, 100%, $E$13)</f>
        <v>11.317299999999999</v>
      </c>
      <c r="D761" s="60">
        <f>11.3361 * CHOOSE(CONTROL!$C$22, $C$13, 100%, $E$13)</f>
        <v>11.3361</v>
      </c>
      <c r="E761" s="61">
        <f>13.5686 * CHOOSE(CONTROL!$C$22, $C$13, 100%, $E$13)</f>
        <v>13.5686</v>
      </c>
      <c r="F761" s="61">
        <f>13.5686 * CHOOSE(CONTROL!$C$22, $C$13, 100%, $E$13)</f>
        <v>13.5686</v>
      </c>
      <c r="G761" s="61">
        <f>13.5688 * CHOOSE(CONTROL!$C$22, $C$13, 100%, $E$13)</f>
        <v>13.5688</v>
      </c>
      <c r="H761" s="61">
        <f>22.7002* CHOOSE(CONTROL!$C$22, $C$13, 100%, $E$13)</f>
        <v>22.700199999999999</v>
      </c>
      <c r="I761" s="61">
        <f>22.7004 * CHOOSE(CONTROL!$C$22, $C$13, 100%, $E$13)</f>
        <v>22.700399999999998</v>
      </c>
      <c r="J761" s="61">
        <f>13.2402 * CHOOSE(CONTROL!$C$22, $C$13, 100%, $E$13)</f>
        <v>13.2402</v>
      </c>
      <c r="K761" s="61">
        <f>13.5688 * CHOOSE(CONTROL!$C$22, $C$13, 100%, $E$13)</f>
        <v>13.5688</v>
      </c>
    </row>
    <row r="762" spans="1:11" ht="15">
      <c r="A762" s="13">
        <v>65047</v>
      </c>
      <c r="B762" s="60">
        <f>11.3143 * CHOOSE(CONTROL!$C$22, $C$13, 100%, $E$13)</f>
        <v>11.314299999999999</v>
      </c>
      <c r="C762" s="60">
        <f>11.3143 * CHOOSE(CONTROL!$C$22, $C$13, 100%, $E$13)</f>
        <v>11.314299999999999</v>
      </c>
      <c r="D762" s="60">
        <f>11.3331 * CHOOSE(CONTROL!$C$22, $C$13, 100%, $E$13)</f>
        <v>11.3331</v>
      </c>
      <c r="E762" s="61">
        <f>13.3435 * CHOOSE(CONTROL!$C$22, $C$13, 100%, $E$13)</f>
        <v>13.343500000000001</v>
      </c>
      <c r="F762" s="61">
        <f>13.3435 * CHOOSE(CONTROL!$C$22, $C$13, 100%, $E$13)</f>
        <v>13.343500000000001</v>
      </c>
      <c r="G762" s="61">
        <f>13.3437 * CHOOSE(CONTROL!$C$22, $C$13, 100%, $E$13)</f>
        <v>13.3437</v>
      </c>
      <c r="H762" s="61">
        <f>22.7475* CHOOSE(CONTROL!$C$22, $C$13, 100%, $E$13)</f>
        <v>22.747499999999999</v>
      </c>
      <c r="I762" s="61">
        <f>22.7477 * CHOOSE(CONTROL!$C$22, $C$13, 100%, $E$13)</f>
        <v>22.747699999999998</v>
      </c>
      <c r="J762" s="61">
        <f>13.0217 * CHOOSE(CONTROL!$C$22, $C$13, 100%, $E$13)</f>
        <v>13.021699999999999</v>
      </c>
      <c r="K762" s="61">
        <f>13.3437 * CHOOSE(CONTROL!$C$22, $C$13, 100%, $E$13)</f>
        <v>13.3437</v>
      </c>
    </row>
    <row r="763" spans="1:11" ht="15">
      <c r="A763" s="13">
        <v>65075</v>
      </c>
      <c r="B763" s="60">
        <f>11.3113 * CHOOSE(CONTROL!$C$22, $C$13, 100%, $E$13)</f>
        <v>11.311299999999999</v>
      </c>
      <c r="C763" s="60">
        <f>11.3113 * CHOOSE(CONTROL!$C$22, $C$13, 100%, $E$13)</f>
        <v>11.311299999999999</v>
      </c>
      <c r="D763" s="60">
        <f>11.3301 * CHOOSE(CONTROL!$C$22, $C$13, 100%, $E$13)</f>
        <v>11.3301</v>
      </c>
      <c r="E763" s="61">
        <f>13.5172 * CHOOSE(CONTROL!$C$22, $C$13, 100%, $E$13)</f>
        <v>13.517200000000001</v>
      </c>
      <c r="F763" s="61">
        <f>13.5172 * CHOOSE(CONTROL!$C$22, $C$13, 100%, $E$13)</f>
        <v>13.517200000000001</v>
      </c>
      <c r="G763" s="61">
        <f>13.5174 * CHOOSE(CONTROL!$C$22, $C$13, 100%, $E$13)</f>
        <v>13.5174</v>
      </c>
      <c r="H763" s="61">
        <f>22.7949* CHOOSE(CONTROL!$C$22, $C$13, 100%, $E$13)</f>
        <v>22.794899999999998</v>
      </c>
      <c r="I763" s="61">
        <f>22.7951 * CHOOSE(CONTROL!$C$22, $C$13, 100%, $E$13)</f>
        <v>22.795100000000001</v>
      </c>
      <c r="J763" s="61">
        <f>13.1902 * CHOOSE(CONTROL!$C$22, $C$13, 100%, $E$13)</f>
        <v>13.190200000000001</v>
      </c>
      <c r="K763" s="61">
        <f>13.5174 * CHOOSE(CONTROL!$C$22, $C$13, 100%, $E$13)</f>
        <v>13.5174</v>
      </c>
    </row>
    <row r="764" spans="1:11" ht="15">
      <c r="A764" s="13">
        <v>65106</v>
      </c>
      <c r="B764" s="60">
        <f>11.3161 * CHOOSE(CONTROL!$C$22, $C$13, 100%, $E$13)</f>
        <v>11.3161</v>
      </c>
      <c r="C764" s="60">
        <f>11.3161 * CHOOSE(CONTROL!$C$22, $C$13, 100%, $E$13)</f>
        <v>11.3161</v>
      </c>
      <c r="D764" s="60">
        <f>11.3349 * CHOOSE(CONTROL!$C$22, $C$13, 100%, $E$13)</f>
        <v>11.334899999999999</v>
      </c>
      <c r="E764" s="61">
        <f>13.7017 * CHOOSE(CONTROL!$C$22, $C$13, 100%, $E$13)</f>
        <v>13.701700000000001</v>
      </c>
      <c r="F764" s="61">
        <f>13.7017 * CHOOSE(CONTROL!$C$22, $C$13, 100%, $E$13)</f>
        <v>13.701700000000001</v>
      </c>
      <c r="G764" s="61">
        <f>13.7019 * CHOOSE(CONTROL!$C$22, $C$13, 100%, $E$13)</f>
        <v>13.7019</v>
      </c>
      <c r="H764" s="61">
        <f>22.8424* CHOOSE(CONTROL!$C$22, $C$13, 100%, $E$13)</f>
        <v>22.842400000000001</v>
      </c>
      <c r="I764" s="61">
        <f>22.8425 * CHOOSE(CONTROL!$C$22, $C$13, 100%, $E$13)</f>
        <v>22.842500000000001</v>
      </c>
      <c r="J764" s="61">
        <f>13.3691 * CHOOSE(CONTROL!$C$22, $C$13, 100%, $E$13)</f>
        <v>13.3691</v>
      </c>
      <c r="K764" s="61">
        <f>13.7019 * CHOOSE(CONTROL!$C$22, $C$13, 100%, $E$13)</f>
        <v>13.7019</v>
      </c>
    </row>
    <row r="765" spans="1:11" ht="15">
      <c r="A765" s="13">
        <v>65136</v>
      </c>
      <c r="B765" s="60">
        <f>11.3161 * CHOOSE(CONTROL!$C$22, $C$13, 100%, $E$13)</f>
        <v>11.3161</v>
      </c>
      <c r="C765" s="60">
        <f>11.3161 * CHOOSE(CONTROL!$C$22, $C$13, 100%, $E$13)</f>
        <v>11.3161</v>
      </c>
      <c r="D765" s="60">
        <f>11.3538 * CHOOSE(CONTROL!$C$22, $C$13, 100%, $E$13)</f>
        <v>11.3538</v>
      </c>
      <c r="E765" s="61">
        <f>13.7725 * CHOOSE(CONTROL!$C$22, $C$13, 100%, $E$13)</f>
        <v>13.772500000000001</v>
      </c>
      <c r="F765" s="61">
        <f>13.7725 * CHOOSE(CONTROL!$C$22, $C$13, 100%, $E$13)</f>
        <v>13.772500000000001</v>
      </c>
      <c r="G765" s="61">
        <f>13.7748 * CHOOSE(CONTROL!$C$22, $C$13, 100%, $E$13)</f>
        <v>13.774800000000001</v>
      </c>
      <c r="H765" s="61">
        <f>22.89* CHOOSE(CONTROL!$C$22, $C$13, 100%, $E$13)</f>
        <v>22.89</v>
      </c>
      <c r="I765" s="61">
        <f>22.8923 * CHOOSE(CONTROL!$C$22, $C$13, 100%, $E$13)</f>
        <v>22.892299999999999</v>
      </c>
      <c r="J765" s="61">
        <f>13.4378 * CHOOSE(CONTROL!$C$22, $C$13, 100%, $E$13)</f>
        <v>13.437799999999999</v>
      </c>
      <c r="K765" s="61">
        <f>13.7748 * CHOOSE(CONTROL!$C$22, $C$13, 100%, $E$13)</f>
        <v>13.774800000000001</v>
      </c>
    </row>
    <row r="766" spans="1:11" ht="15">
      <c r="A766" s="13">
        <v>65167</v>
      </c>
      <c r="B766" s="60">
        <f>11.3222 * CHOOSE(CONTROL!$C$22, $C$13, 100%, $E$13)</f>
        <v>11.3222</v>
      </c>
      <c r="C766" s="60">
        <f>11.3222 * CHOOSE(CONTROL!$C$22, $C$13, 100%, $E$13)</f>
        <v>11.3222</v>
      </c>
      <c r="D766" s="60">
        <f>11.3598 * CHOOSE(CONTROL!$C$22, $C$13, 100%, $E$13)</f>
        <v>11.3598</v>
      </c>
      <c r="E766" s="61">
        <f>13.706 * CHOOSE(CONTROL!$C$22, $C$13, 100%, $E$13)</f>
        <v>13.706</v>
      </c>
      <c r="F766" s="61">
        <f>13.706 * CHOOSE(CONTROL!$C$22, $C$13, 100%, $E$13)</f>
        <v>13.706</v>
      </c>
      <c r="G766" s="61">
        <f>13.7083 * CHOOSE(CONTROL!$C$22, $C$13, 100%, $E$13)</f>
        <v>13.708299999999999</v>
      </c>
      <c r="H766" s="61">
        <f>22.9376* CHOOSE(CONTROL!$C$22, $C$13, 100%, $E$13)</f>
        <v>22.9376</v>
      </c>
      <c r="I766" s="61">
        <f>22.94 * CHOOSE(CONTROL!$C$22, $C$13, 100%, $E$13)</f>
        <v>22.94</v>
      </c>
      <c r="J766" s="61">
        <f>13.3734 * CHOOSE(CONTROL!$C$22, $C$13, 100%, $E$13)</f>
        <v>13.3734</v>
      </c>
      <c r="K766" s="61">
        <f>13.7083 * CHOOSE(CONTROL!$C$22, $C$13, 100%, $E$13)</f>
        <v>13.708299999999999</v>
      </c>
    </row>
    <row r="767" spans="1:11" ht="15">
      <c r="A767" s="13">
        <v>65197</v>
      </c>
      <c r="B767" s="60">
        <f>11.4808 * CHOOSE(CONTROL!$C$22, $C$13, 100%, $E$13)</f>
        <v>11.4808</v>
      </c>
      <c r="C767" s="60">
        <f>11.4808 * CHOOSE(CONTROL!$C$22, $C$13, 100%, $E$13)</f>
        <v>11.4808</v>
      </c>
      <c r="D767" s="60">
        <f>11.5184 * CHOOSE(CONTROL!$C$22, $C$13, 100%, $E$13)</f>
        <v>11.5184</v>
      </c>
      <c r="E767" s="61">
        <f>13.9558 * CHOOSE(CONTROL!$C$22, $C$13, 100%, $E$13)</f>
        <v>13.9558</v>
      </c>
      <c r="F767" s="61">
        <f>13.9558 * CHOOSE(CONTROL!$C$22, $C$13, 100%, $E$13)</f>
        <v>13.9558</v>
      </c>
      <c r="G767" s="61">
        <f>13.9581 * CHOOSE(CONTROL!$C$22, $C$13, 100%, $E$13)</f>
        <v>13.9581</v>
      </c>
      <c r="H767" s="61">
        <f>22.9854* CHOOSE(CONTROL!$C$22, $C$13, 100%, $E$13)</f>
        <v>22.985399999999998</v>
      </c>
      <c r="I767" s="61">
        <f>22.9877 * CHOOSE(CONTROL!$C$22, $C$13, 100%, $E$13)</f>
        <v>22.9877</v>
      </c>
      <c r="J767" s="61">
        <f>13.6175 * CHOOSE(CONTROL!$C$22, $C$13, 100%, $E$13)</f>
        <v>13.6175</v>
      </c>
      <c r="K767" s="61">
        <f>13.9581 * CHOOSE(CONTROL!$C$22, $C$13, 100%, $E$13)</f>
        <v>13.9581</v>
      </c>
    </row>
    <row r="768" spans="1:11" ht="15">
      <c r="A768" s="13">
        <v>65228</v>
      </c>
      <c r="B768" s="60">
        <f>11.4875 * CHOOSE(CONTROL!$C$22, $C$13, 100%, $E$13)</f>
        <v>11.487500000000001</v>
      </c>
      <c r="C768" s="60">
        <f>11.4875 * CHOOSE(CONTROL!$C$22, $C$13, 100%, $E$13)</f>
        <v>11.487500000000001</v>
      </c>
      <c r="D768" s="60">
        <f>11.5251 * CHOOSE(CONTROL!$C$22, $C$13, 100%, $E$13)</f>
        <v>11.5251</v>
      </c>
      <c r="E768" s="61">
        <f>13.748 * CHOOSE(CONTROL!$C$22, $C$13, 100%, $E$13)</f>
        <v>13.747999999999999</v>
      </c>
      <c r="F768" s="61">
        <f>13.748 * CHOOSE(CONTROL!$C$22, $C$13, 100%, $E$13)</f>
        <v>13.747999999999999</v>
      </c>
      <c r="G768" s="61">
        <f>13.7503 * CHOOSE(CONTROL!$C$22, $C$13, 100%, $E$13)</f>
        <v>13.750299999999999</v>
      </c>
      <c r="H768" s="61">
        <f>23.0333* CHOOSE(CONTROL!$C$22, $C$13, 100%, $E$13)</f>
        <v>23.033300000000001</v>
      </c>
      <c r="I768" s="61">
        <f>23.0356 * CHOOSE(CONTROL!$C$22, $C$13, 100%, $E$13)</f>
        <v>23.035599999999999</v>
      </c>
      <c r="J768" s="61">
        <f>13.416 * CHOOSE(CONTROL!$C$22, $C$13, 100%, $E$13)</f>
        <v>13.416</v>
      </c>
      <c r="K768" s="61">
        <f>13.7503 * CHOOSE(CONTROL!$C$22, $C$13, 100%, $E$13)</f>
        <v>13.750299999999999</v>
      </c>
    </row>
    <row r="769" spans="1:11" ht="15">
      <c r="A769" s="13">
        <v>65259</v>
      </c>
      <c r="B769" s="60">
        <f>11.4844 * CHOOSE(CONTROL!$C$22, $C$13, 100%, $E$13)</f>
        <v>11.484400000000001</v>
      </c>
      <c r="C769" s="60">
        <f>11.4844 * CHOOSE(CONTROL!$C$22, $C$13, 100%, $E$13)</f>
        <v>11.484400000000001</v>
      </c>
      <c r="D769" s="60">
        <f>11.522 * CHOOSE(CONTROL!$C$22, $C$13, 100%, $E$13)</f>
        <v>11.522</v>
      </c>
      <c r="E769" s="61">
        <f>13.7223 * CHOOSE(CONTROL!$C$22, $C$13, 100%, $E$13)</f>
        <v>13.722300000000001</v>
      </c>
      <c r="F769" s="61">
        <f>13.7223 * CHOOSE(CONTROL!$C$22, $C$13, 100%, $E$13)</f>
        <v>13.722300000000001</v>
      </c>
      <c r="G769" s="61">
        <f>13.7246 * CHOOSE(CONTROL!$C$22, $C$13, 100%, $E$13)</f>
        <v>13.724600000000001</v>
      </c>
      <c r="H769" s="61">
        <f>23.0813* CHOOSE(CONTROL!$C$22, $C$13, 100%, $E$13)</f>
        <v>23.081299999999999</v>
      </c>
      <c r="I769" s="61">
        <f>23.0836 * CHOOSE(CONTROL!$C$22, $C$13, 100%, $E$13)</f>
        <v>23.083600000000001</v>
      </c>
      <c r="J769" s="61">
        <f>13.391 * CHOOSE(CONTROL!$C$22, $C$13, 100%, $E$13)</f>
        <v>13.391</v>
      </c>
      <c r="K769" s="61">
        <f>13.7246 * CHOOSE(CONTROL!$C$22, $C$13, 100%, $E$13)</f>
        <v>13.724600000000001</v>
      </c>
    </row>
    <row r="770" spans="1:11" ht="15">
      <c r="A770" s="13">
        <v>65289</v>
      </c>
      <c r="B770" s="60">
        <f>11.5079 * CHOOSE(CONTROL!$C$22, $C$13, 100%, $E$13)</f>
        <v>11.507899999999999</v>
      </c>
      <c r="C770" s="60">
        <f>11.5079 * CHOOSE(CONTROL!$C$22, $C$13, 100%, $E$13)</f>
        <v>11.507899999999999</v>
      </c>
      <c r="D770" s="60">
        <f>11.5268 * CHOOSE(CONTROL!$C$22, $C$13, 100%, $E$13)</f>
        <v>11.5268</v>
      </c>
      <c r="E770" s="61">
        <f>13.8033 * CHOOSE(CONTROL!$C$22, $C$13, 100%, $E$13)</f>
        <v>13.8033</v>
      </c>
      <c r="F770" s="61">
        <f>13.8033 * CHOOSE(CONTROL!$C$22, $C$13, 100%, $E$13)</f>
        <v>13.8033</v>
      </c>
      <c r="G770" s="61">
        <f>13.8035 * CHOOSE(CONTROL!$C$22, $C$13, 100%, $E$13)</f>
        <v>13.8035</v>
      </c>
      <c r="H770" s="61">
        <f>23.1294* CHOOSE(CONTROL!$C$22, $C$13, 100%, $E$13)</f>
        <v>23.1294</v>
      </c>
      <c r="I770" s="61">
        <f>23.1296 * CHOOSE(CONTROL!$C$22, $C$13, 100%, $E$13)</f>
        <v>23.1296</v>
      </c>
      <c r="J770" s="61">
        <f>13.4692 * CHOOSE(CONTROL!$C$22, $C$13, 100%, $E$13)</f>
        <v>13.469200000000001</v>
      </c>
      <c r="K770" s="61">
        <f>13.8035 * CHOOSE(CONTROL!$C$22, $C$13, 100%, $E$13)</f>
        <v>13.8035</v>
      </c>
    </row>
    <row r="771" spans="1:11" ht="15">
      <c r="A771" s="13">
        <v>65320</v>
      </c>
      <c r="B771" s="60">
        <f>11.511 * CHOOSE(CONTROL!$C$22, $C$13, 100%, $E$13)</f>
        <v>11.510999999999999</v>
      </c>
      <c r="C771" s="60">
        <f>11.511 * CHOOSE(CONTROL!$C$22, $C$13, 100%, $E$13)</f>
        <v>11.510999999999999</v>
      </c>
      <c r="D771" s="60">
        <f>11.5298 * CHOOSE(CONTROL!$C$22, $C$13, 100%, $E$13)</f>
        <v>11.5298</v>
      </c>
      <c r="E771" s="61">
        <f>13.8526 * CHOOSE(CONTROL!$C$22, $C$13, 100%, $E$13)</f>
        <v>13.852600000000001</v>
      </c>
      <c r="F771" s="61">
        <f>13.8526 * CHOOSE(CONTROL!$C$22, $C$13, 100%, $E$13)</f>
        <v>13.852600000000001</v>
      </c>
      <c r="G771" s="61">
        <f>13.8528 * CHOOSE(CONTROL!$C$22, $C$13, 100%, $E$13)</f>
        <v>13.8528</v>
      </c>
      <c r="H771" s="61">
        <f>23.1776* CHOOSE(CONTROL!$C$22, $C$13, 100%, $E$13)</f>
        <v>23.177600000000002</v>
      </c>
      <c r="I771" s="61">
        <f>23.1778 * CHOOSE(CONTROL!$C$22, $C$13, 100%, $E$13)</f>
        <v>23.177800000000001</v>
      </c>
      <c r="J771" s="61">
        <f>13.5171 * CHOOSE(CONTROL!$C$22, $C$13, 100%, $E$13)</f>
        <v>13.517099999999999</v>
      </c>
      <c r="K771" s="61">
        <f>13.8528 * CHOOSE(CONTROL!$C$22, $C$13, 100%, $E$13)</f>
        <v>13.8528</v>
      </c>
    </row>
    <row r="772" spans="1:11" ht="15">
      <c r="A772" s="13">
        <v>65350</v>
      </c>
      <c r="B772" s="60">
        <f>11.511 * CHOOSE(CONTROL!$C$22, $C$13, 100%, $E$13)</f>
        <v>11.510999999999999</v>
      </c>
      <c r="C772" s="60">
        <f>11.511 * CHOOSE(CONTROL!$C$22, $C$13, 100%, $E$13)</f>
        <v>11.510999999999999</v>
      </c>
      <c r="D772" s="60">
        <f>11.5298 * CHOOSE(CONTROL!$C$22, $C$13, 100%, $E$13)</f>
        <v>11.5298</v>
      </c>
      <c r="E772" s="61">
        <f>13.7346 * CHOOSE(CONTROL!$C$22, $C$13, 100%, $E$13)</f>
        <v>13.7346</v>
      </c>
      <c r="F772" s="61">
        <f>13.7346 * CHOOSE(CONTROL!$C$22, $C$13, 100%, $E$13)</f>
        <v>13.7346</v>
      </c>
      <c r="G772" s="61">
        <f>13.7348 * CHOOSE(CONTROL!$C$22, $C$13, 100%, $E$13)</f>
        <v>13.7348</v>
      </c>
      <c r="H772" s="61">
        <f>23.2259* CHOOSE(CONTROL!$C$22, $C$13, 100%, $E$13)</f>
        <v>23.225899999999999</v>
      </c>
      <c r="I772" s="61">
        <f>23.226 * CHOOSE(CONTROL!$C$22, $C$13, 100%, $E$13)</f>
        <v>23.225999999999999</v>
      </c>
      <c r="J772" s="61">
        <f>13.4026 * CHOOSE(CONTROL!$C$22, $C$13, 100%, $E$13)</f>
        <v>13.4026</v>
      </c>
      <c r="K772" s="61">
        <f>13.7348 * CHOOSE(CONTROL!$C$22, $C$13, 100%, $E$13)</f>
        <v>13.7348</v>
      </c>
    </row>
    <row r="773" spans="1:11" ht="15">
      <c r="A773" s="13">
        <v>65381</v>
      </c>
      <c r="B773" s="60">
        <f>11.5293 * CHOOSE(CONTROL!$C$22, $C$13, 100%, $E$13)</f>
        <v>11.529299999999999</v>
      </c>
      <c r="C773" s="60">
        <f>11.5293 * CHOOSE(CONTROL!$C$22, $C$13, 100%, $E$13)</f>
        <v>11.529299999999999</v>
      </c>
      <c r="D773" s="60">
        <f>11.5482 * CHOOSE(CONTROL!$C$22, $C$13, 100%, $E$13)</f>
        <v>11.5482</v>
      </c>
      <c r="E773" s="61">
        <f>13.8424 * CHOOSE(CONTROL!$C$22, $C$13, 100%, $E$13)</f>
        <v>13.8424</v>
      </c>
      <c r="F773" s="61">
        <f>13.8424 * CHOOSE(CONTROL!$C$22, $C$13, 100%, $E$13)</f>
        <v>13.8424</v>
      </c>
      <c r="G773" s="61">
        <f>13.8425 * CHOOSE(CONTROL!$C$22, $C$13, 100%, $E$13)</f>
        <v>13.842499999999999</v>
      </c>
      <c r="H773" s="61">
        <f>23.1017* CHOOSE(CONTROL!$C$22, $C$13, 100%, $E$13)</f>
        <v>23.101700000000001</v>
      </c>
      <c r="I773" s="61">
        <f>23.1018 * CHOOSE(CONTROL!$C$22, $C$13, 100%, $E$13)</f>
        <v>23.101800000000001</v>
      </c>
      <c r="J773" s="61">
        <f>13.492 * CHOOSE(CONTROL!$C$22, $C$13, 100%, $E$13)</f>
        <v>13.492000000000001</v>
      </c>
      <c r="K773" s="61">
        <f>13.8425 * CHOOSE(CONTROL!$C$22, $C$13, 100%, $E$13)</f>
        <v>13.842499999999999</v>
      </c>
    </row>
    <row r="774" spans="1:11" ht="15">
      <c r="A774" s="13">
        <v>65412</v>
      </c>
      <c r="B774" s="60">
        <f>11.5263 * CHOOSE(CONTROL!$C$22, $C$13, 100%, $E$13)</f>
        <v>11.526300000000001</v>
      </c>
      <c r="C774" s="60">
        <f>11.5263 * CHOOSE(CONTROL!$C$22, $C$13, 100%, $E$13)</f>
        <v>11.526300000000001</v>
      </c>
      <c r="D774" s="60">
        <f>11.5451 * CHOOSE(CONTROL!$C$22, $C$13, 100%, $E$13)</f>
        <v>11.5451</v>
      </c>
      <c r="E774" s="61">
        <f>13.6123 * CHOOSE(CONTROL!$C$22, $C$13, 100%, $E$13)</f>
        <v>13.612299999999999</v>
      </c>
      <c r="F774" s="61">
        <f>13.6123 * CHOOSE(CONTROL!$C$22, $C$13, 100%, $E$13)</f>
        <v>13.612299999999999</v>
      </c>
      <c r="G774" s="61">
        <f>13.6125 * CHOOSE(CONTROL!$C$22, $C$13, 100%, $E$13)</f>
        <v>13.612500000000001</v>
      </c>
      <c r="H774" s="61">
        <f>23.1498* CHOOSE(CONTROL!$C$22, $C$13, 100%, $E$13)</f>
        <v>23.149799999999999</v>
      </c>
      <c r="I774" s="61">
        <f>23.15 * CHOOSE(CONTROL!$C$22, $C$13, 100%, $E$13)</f>
        <v>23.15</v>
      </c>
      <c r="J774" s="61">
        <f>13.2691 * CHOOSE(CONTROL!$C$22, $C$13, 100%, $E$13)</f>
        <v>13.2691</v>
      </c>
      <c r="K774" s="61">
        <f>13.6125 * CHOOSE(CONTROL!$C$22, $C$13, 100%, $E$13)</f>
        <v>13.612500000000001</v>
      </c>
    </row>
    <row r="775" spans="1:11" ht="15">
      <c r="A775" s="13">
        <v>65440</v>
      </c>
      <c r="B775" s="60">
        <f>11.5233 * CHOOSE(CONTROL!$C$22, $C$13, 100%, $E$13)</f>
        <v>11.523300000000001</v>
      </c>
      <c r="C775" s="60">
        <f>11.5233 * CHOOSE(CONTROL!$C$22, $C$13, 100%, $E$13)</f>
        <v>11.523300000000001</v>
      </c>
      <c r="D775" s="60">
        <f>11.5421 * CHOOSE(CONTROL!$C$22, $C$13, 100%, $E$13)</f>
        <v>11.5421</v>
      </c>
      <c r="E775" s="61">
        <f>13.7899 * CHOOSE(CONTROL!$C$22, $C$13, 100%, $E$13)</f>
        <v>13.789899999999999</v>
      </c>
      <c r="F775" s="61">
        <f>13.7899 * CHOOSE(CONTROL!$C$22, $C$13, 100%, $E$13)</f>
        <v>13.789899999999999</v>
      </c>
      <c r="G775" s="61">
        <f>13.7901 * CHOOSE(CONTROL!$C$22, $C$13, 100%, $E$13)</f>
        <v>13.790100000000001</v>
      </c>
      <c r="H775" s="61">
        <f>23.198* CHOOSE(CONTROL!$C$22, $C$13, 100%, $E$13)</f>
        <v>23.198</v>
      </c>
      <c r="I775" s="61">
        <f>23.1982 * CHOOSE(CONTROL!$C$22, $C$13, 100%, $E$13)</f>
        <v>23.1982</v>
      </c>
      <c r="J775" s="61">
        <f>13.4411 * CHOOSE(CONTROL!$C$22, $C$13, 100%, $E$13)</f>
        <v>13.4411</v>
      </c>
      <c r="K775" s="61">
        <f>13.7901 * CHOOSE(CONTROL!$C$22, $C$13, 100%, $E$13)</f>
        <v>13.790100000000001</v>
      </c>
    </row>
    <row r="776" spans="1:11" ht="15">
      <c r="A776" s="13">
        <v>65471</v>
      </c>
      <c r="B776" s="60">
        <f>11.5283 * CHOOSE(CONTROL!$C$22, $C$13, 100%, $E$13)</f>
        <v>11.5283</v>
      </c>
      <c r="C776" s="60">
        <f>11.5283 * CHOOSE(CONTROL!$C$22, $C$13, 100%, $E$13)</f>
        <v>11.5283</v>
      </c>
      <c r="D776" s="60">
        <f>11.5472 * CHOOSE(CONTROL!$C$22, $C$13, 100%, $E$13)</f>
        <v>11.5472</v>
      </c>
      <c r="E776" s="61">
        <f>13.9786 * CHOOSE(CONTROL!$C$22, $C$13, 100%, $E$13)</f>
        <v>13.9786</v>
      </c>
      <c r="F776" s="61">
        <f>13.9786 * CHOOSE(CONTROL!$C$22, $C$13, 100%, $E$13)</f>
        <v>13.9786</v>
      </c>
      <c r="G776" s="61">
        <f>13.9788 * CHOOSE(CONTROL!$C$22, $C$13, 100%, $E$13)</f>
        <v>13.9788</v>
      </c>
      <c r="H776" s="61">
        <f>23.2463* CHOOSE(CONTROL!$C$22, $C$13, 100%, $E$13)</f>
        <v>23.246300000000002</v>
      </c>
      <c r="I776" s="61">
        <f>23.2465 * CHOOSE(CONTROL!$C$22, $C$13, 100%, $E$13)</f>
        <v>23.246500000000001</v>
      </c>
      <c r="J776" s="61">
        <f>13.6238 * CHOOSE(CONTROL!$C$22, $C$13, 100%, $E$13)</f>
        <v>13.623799999999999</v>
      </c>
      <c r="K776" s="61">
        <f>13.9788 * CHOOSE(CONTROL!$C$22, $C$13, 100%, $E$13)</f>
        <v>13.9788</v>
      </c>
    </row>
    <row r="777" spans="1:11" ht="15">
      <c r="A777" s="13">
        <v>65501</v>
      </c>
      <c r="B777" s="60">
        <f>11.5283 * CHOOSE(CONTROL!$C$22, $C$13, 100%, $E$13)</f>
        <v>11.5283</v>
      </c>
      <c r="C777" s="60">
        <f>11.5283 * CHOOSE(CONTROL!$C$22, $C$13, 100%, $E$13)</f>
        <v>11.5283</v>
      </c>
      <c r="D777" s="60">
        <f>11.566 * CHOOSE(CONTROL!$C$22, $C$13, 100%, $E$13)</f>
        <v>11.566000000000001</v>
      </c>
      <c r="E777" s="61">
        <f>14.051 * CHOOSE(CONTROL!$C$22, $C$13, 100%, $E$13)</f>
        <v>14.051</v>
      </c>
      <c r="F777" s="61">
        <f>14.051 * CHOOSE(CONTROL!$C$22, $C$13, 100%, $E$13)</f>
        <v>14.051</v>
      </c>
      <c r="G777" s="61">
        <f>14.0533 * CHOOSE(CONTROL!$C$22, $C$13, 100%, $E$13)</f>
        <v>14.0533</v>
      </c>
      <c r="H777" s="61">
        <f>23.2948* CHOOSE(CONTROL!$C$22, $C$13, 100%, $E$13)</f>
        <v>23.294799999999999</v>
      </c>
      <c r="I777" s="61">
        <f>23.2971 * CHOOSE(CONTROL!$C$22, $C$13, 100%, $E$13)</f>
        <v>23.2971</v>
      </c>
      <c r="J777" s="61">
        <f>13.6939 * CHOOSE(CONTROL!$C$22, $C$13, 100%, $E$13)</f>
        <v>13.693899999999999</v>
      </c>
      <c r="K777" s="61">
        <f>14.0533 * CHOOSE(CONTROL!$C$22, $C$13, 100%, $E$13)</f>
        <v>14.0533</v>
      </c>
    </row>
    <row r="778" spans="1:11" ht="15">
      <c r="A778" s="13">
        <v>65532</v>
      </c>
      <c r="B778" s="60">
        <f>11.5344 * CHOOSE(CONTROL!$C$22, $C$13, 100%, $E$13)</f>
        <v>11.5344</v>
      </c>
      <c r="C778" s="60">
        <f>11.5344 * CHOOSE(CONTROL!$C$22, $C$13, 100%, $E$13)</f>
        <v>11.5344</v>
      </c>
      <c r="D778" s="60">
        <f>11.5721 * CHOOSE(CONTROL!$C$22, $C$13, 100%, $E$13)</f>
        <v>11.572100000000001</v>
      </c>
      <c r="E778" s="61">
        <f>13.9828 * CHOOSE(CONTROL!$C$22, $C$13, 100%, $E$13)</f>
        <v>13.982799999999999</v>
      </c>
      <c r="F778" s="61">
        <f>13.9828 * CHOOSE(CONTROL!$C$22, $C$13, 100%, $E$13)</f>
        <v>13.982799999999999</v>
      </c>
      <c r="G778" s="61">
        <f>13.9852 * CHOOSE(CONTROL!$C$22, $C$13, 100%, $E$13)</f>
        <v>13.985200000000001</v>
      </c>
      <c r="H778" s="61">
        <f>23.3433* CHOOSE(CONTROL!$C$22, $C$13, 100%, $E$13)</f>
        <v>23.343299999999999</v>
      </c>
      <c r="I778" s="61">
        <f>23.3456 * CHOOSE(CONTROL!$C$22, $C$13, 100%, $E$13)</f>
        <v>23.345600000000001</v>
      </c>
      <c r="J778" s="61">
        <f>13.628 * CHOOSE(CONTROL!$C$22, $C$13, 100%, $E$13)</f>
        <v>13.628</v>
      </c>
      <c r="K778" s="61">
        <f>13.9852 * CHOOSE(CONTROL!$C$22, $C$13, 100%, $E$13)</f>
        <v>13.985200000000001</v>
      </c>
    </row>
    <row r="779" spans="1:11" ht="15">
      <c r="A779" s="13">
        <v>65562</v>
      </c>
      <c r="B779" s="60">
        <f>11.6957 * CHOOSE(CONTROL!$C$22, $C$13, 100%, $E$13)</f>
        <v>11.6957</v>
      </c>
      <c r="C779" s="60">
        <f>11.6957 * CHOOSE(CONTROL!$C$22, $C$13, 100%, $E$13)</f>
        <v>11.6957</v>
      </c>
      <c r="D779" s="60">
        <f>11.7333 * CHOOSE(CONTROL!$C$22, $C$13, 100%, $E$13)</f>
        <v>11.7333</v>
      </c>
      <c r="E779" s="61">
        <f>14.2374 * CHOOSE(CONTROL!$C$22, $C$13, 100%, $E$13)</f>
        <v>14.237399999999999</v>
      </c>
      <c r="F779" s="61">
        <f>14.2374 * CHOOSE(CONTROL!$C$22, $C$13, 100%, $E$13)</f>
        <v>14.237399999999999</v>
      </c>
      <c r="G779" s="61">
        <f>14.2398 * CHOOSE(CONTROL!$C$22, $C$13, 100%, $E$13)</f>
        <v>14.239800000000001</v>
      </c>
      <c r="H779" s="61">
        <f>23.3919* CHOOSE(CONTROL!$C$22, $C$13, 100%, $E$13)</f>
        <v>23.3919</v>
      </c>
      <c r="I779" s="61">
        <f>23.3942 * CHOOSE(CONTROL!$C$22, $C$13, 100%, $E$13)</f>
        <v>23.394200000000001</v>
      </c>
      <c r="J779" s="61">
        <f>13.8766 * CHOOSE(CONTROL!$C$22, $C$13, 100%, $E$13)</f>
        <v>13.8766</v>
      </c>
      <c r="K779" s="61">
        <f>14.2398 * CHOOSE(CONTROL!$C$22, $C$13, 100%, $E$13)</f>
        <v>14.239800000000001</v>
      </c>
    </row>
    <row r="780" spans="1:11" ht="15">
      <c r="A780" s="13">
        <v>65593</v>
      </c>
      <c r="B780" s="60">
        <f>11.7024 * CHOOSE(CONTROL!$C$22, $C$13, 100%, $E$13)</f>
        <v>11.702400000000001</v>
      </c>
      <c r="C780" s="60">
        <f>11.7024 * CHOOSE(CONTROL!$C$22, $C$13, 100%, $E$13)</f>
        <v>11.702400000000001</v>
      </c>
      <c r="D780" s="60">
        <f>11.74 * CHOOSE(CONTROL!$C$22, $C$13, 100%, $E$13)</f>
        <v>11.74</v>
      </c>
      <c r="E780" s="61">
        <f>14.025 * CHOOSE(CONTROL!$C$22, $C$13, 100%, $E$13)</f>
        <v>14.025</v>
      </c>
      <c r="F780" s="61">
        <f>14.025 * CHOOSE(CONTROL!$C$22, $C$13, 100%, $E$13)</f>
        <v>14.025</v>
      </c>
      <c r="G780" s="61">
        <f>14.0274 * CHOOSE(CONTROL!$C$22, $C$13, 100%, $E$13)</f>
        <v>14.0274</v>
      </c>
      <c r="H780" s="61">
        <f>23.4407* CHOOSE(CONTROL!$C$22, $C$13, 100%, $E$13)</f>
        <v>23.4407</v>
      </c>
      <c r="I780" s="61">
        <f>23.443 * CHOOSE(CONTROL!$C$22, $C$13, 100%, $E$13)</f>
        <v>23.443000000000001</v>
      </c>
      <c r="J780" s="61">
        <f>13.6709 * CHOOSE(CONTROL!$C$22, $C$13, 100%, $E$13)</f>
        <v>13.6709</v>
      </c>
      <c r="K780" s="61">
        <f>14.0274 * CHOOSE(CONTROL!$C$22, $C$13, 100%, $E$13)</f>
        <v>14.0274</v>
      </c>
    </row>
    <row r="781" spans="1:11" ht="15">
      <c r="A781" s="13">
        <v>65624</v>
      </c>
      <c r="B781" s="60">
        <f>11.6993 * CHOOSE(CONTROL!$C$22, $C$13, 100%, $E$13)</f>
        <v>11.699299999999999</v>
      </c>
      <c r="C781" s="60">
        <f>11.6993 * CHOOSE(CONTROL!$C$22, $C$13, 100%, $E$13)</f>
        <v>11.699299999999999</v>
      </c>
      <c r="D781" s="60">
        <f>11.737 * CHOOSE(CONTROL!$C$22, $C$13, 100%, $E$13)</f>
        <v>11.737</v>
      </c>
      <c r="E781" s="61">
        <f>13.9988 * CHOOSE(CONTROL!$C$22, $C$13, 100%, $E$13)</f>
        <v>13.998799999999999</v>
      </c>
      <c r="F781" s="61">
        <f>13.9988 * CHOOSE(CONTROL!$C$22, $C$13, 100%, $E$13)</f>
        <v>13.998799999999999</v>
      </c>
      <c r="G781" s="61">
        <f>14.0011 * CHOOSE(CONTROL!$C$22, $C$13, 100%, $E$13)</f>
        <v>14.001099999999999</v>
      </c>
      <c r="H781" s="61">
        <f>23.4895* CHOOSE(CONTROL!$C$22, $C$13, 100%, $E$13)</f>
        <v>23.4895</v>
      </c>
      <c r="I781" s="61">
        <f>23.4918 * CHOOSE(CONTROL!$C$22, $C$13, 100%, $E$13)</f>
        <v>23.491800000000001</v>
      </c>
      <c r="J781" s="61">
        <f>13.6454 * CHOOSE(CONTROL!$C$22, $C$13, 100%, $E$13)</f>
        <v>13.6454</v>
      </c>
      <c r="K781" s="61">
        <f>14.0011 * CHOOSE(CONTROL!$C$22, $C$13, 100%, $E$13)</f>
        <v>14.001099999999999</v>
      </c>
    </row>
    <row r="782" spans="1:11" ht="15">
      <c r="A782" s="13">
        <v>65654</v>
      </c>
      <c r="B782" s="60">
        <f>11.7237 * CHOOSE(CONTROL!$C$22, $C$13, 100%, $E$13)</f>
        <v>11.723699999999999</v>
      </c>
      <c r="C782" s="60">
        <f>11.7237 * CHOOSE(CONTROL!$C$22, $C$13, 100%, $E$13)</f>
        <v>11.723699999999999</v>
      </c>
      <c r="D782" s="60">
        <f>11.7425 * CHOOSE(CONTROL!$C$22, $C$13, 100%, $E$13)</f>
        <v>11.7425</v>
      </c>
      <c r="E782" s="61">
        <f>14.0819 * CHOOSE(CONTROL!$C$22, $C$13, 100%, $E$13)</f>
        <v>14.081899999999999</v>
      </c>
      <c r="F782" s="61">
        <f>14.0819 * CHOOSE(CONTROL!$C$22, $C$13, 100%, $E$13)</f>
        <v>14.081899999999999</v>
      </c>
      <c r="G782" s="61">
        <f>14.082 * CHOOSE(CONTROL!$C$22, $C$13, 100%, $E$13)</f>
        <v>14.082000000000001</v>
      </c>
      <c r="H782" s="61">
        <f>23.5384* CHOOSE(CONTROL!$C$22, $C$13, 100%, $E$13)</f>
        <v>23.538399999999999</v>
      </c>
      <c r="I782" s="61">
        <f>23.5386 * CHOOSE(CONTROL!$C$22, $C$13, 100%, $E$13)</f>
        <v>23.538599999999999</v>
      </c>
      <c r="J782" s="61">
        <f>13.7255 * CHOOSE(CONTROL!$C$22, $C$13, 100%, $E$13)</f>
        <v>13.7255</v>
      </c>
      <c r="K782" s="61">
        <f>14.082 * CHOOSE(CONTROL!$C$22, $C$13, 100%, $E$13)</f>
        <v>14.082000000000001</v>
      </c>
    </row>
    <row r="783" spans="1:11" ht="15">
      <c r="A783" s="13">
        <v>65685</v>
      </c>
      <c r="B783" s="60">
        <f>11.7267 * CHOOSE(CONTROL!$C$22, $C$13, 100%, $E$13)</f>
        <v>11.726699999999999</v>
      </c>
      <c r="C783" s="60">
        <f>11.7267 * CHOOSE(CONTROL!$C$22, $C$13, 100%, $E$13)</f>
        <v>11.726699999999999</v>
      </c>
      <c r="D783" s="60">
        <f>11.7455 * CHOOSE(CONTROL!$C$22, $C$13, 100%, $E$13)</f>
        <v>11.7455</v>
      </c>
      <c r="E783" s="61">
        <f>14.1322 * CHOOSE(CONTROL!$C$22, $C$13, 100%, $E$13)</f>
        <v>14.132199999999999</v>
      </c>
      <c r="F783" s="61">
        <f>14.1322 * CHOOSE(CONTROL!$C$22, $C$13, 100%, $E$13)</f>
        <v>14.132199999999999</v>
      </c>
      <c r="G783" s="61">
        <f>14.1324 * CHOOSE(CONTROL!$C$22, $C$13, 100%, $E$13)</f>
        <v>14.132400000000001</v>
      </c>
      <c r="H783" s="61">
        <f>23.5875* CHOOSE(CONTROL!$C$22, $C$13, 100%, $E$13)</f>
        <v>23.587499999999999</v>
      </c>
      <c r="I783" s="61">
        <f>23.5877 * CHOOSE(CONTROL!$C$22, $C$13, 100%, $E$13)</f>
        <v>23.587700000000002</v>
      </c>
      <c r="J783" s="61">
        <f>13.7743 * CHOOSE(CONTROL!$C$22, $C$13, 100%, $E$13)</f>
        <v>13.7743</v>
      </c>
      <c r="K783" s="61">
        <f>14.1324 * CHOOSE(CONTROL!$C$22, $C$13, 100%, $E$13)</f>
        <v>14.132400000000001</v>
      </c>
    </row>
    <row r="784" spans="1:11" ht="15">
      <c r="A784" s="13">
        <v>65715</v>
      </c>
      <c r="B784" s="60">
        <f>11.7267 * CHOOSE(CONTROL!$C$22, $C$13, 100%, $E$13)</f>
        <v>11.726699999999999</v>
      </c>
      <c r="C784" s="60">
        <f>11.7267 * CHOOSE(CONTROL!$C$22, $C$13, 100%, $E$13)</f>
        <v>11.726699999999999</v>
      </c>
      <c r="D784" s="60">
        <f>11.7455 * CHOOSE(CONTROL!$C$22, $C$13, 100%, $E$13)</f>
        <v>11.7455</v>
      </c>
      <c r="E784" s="61">
        <f>14.0116 * CHOOSE(CONTROL!$C$22, $C$13, 100%, $E$13)</f>
        <v>14.0116</v>
      </c>
      <c r="F784" s="61">
        <f>14.0116 * CHOOSE(CONTROL!$C$22, $C$13, 100%, $E$13)</f>
        <v>14.0116</v>
      </c>
      <c r="G784" s="61">
        <f>14.0118 * CHOOSE(CONTROL!$C$22, $C$13, 100%, $E$13)</f>
        <v>14.011799999999999</v>
      </c>
      <c r="H784" s="61">
        <f>23.6366* CHOOSE(CONTROL!$C$22, $C$13, 100%, $E$13)</f>
        <v>23.636600000000001</v>
      </c>
      <c r="I784" s="61">
        <f>23.6368 * CHOOSE(CONTROL!$C$22, $C$13, 100%, $E$13)</f>
        <v>23.636800000000001</v>
      </c>
      <c r="J784" s="61">
        <f>13.6574 * CHOOSE(CONTROL!$C$22, $C$13, 100%, $E$13)</f>
        <v>13.657400000000001</v>
      </c>
      <c r="K784" s="61">
        <f>14.0118 * CHOOSE(CONTROL!$C$22, $C$13, 100%, $E$13)</f>
        <v>14.011799999999999</v>
      </c>
    </row>
    <row r="785" spans="1:11" ht="15">
      <c r="A785" s="13">
        <v>65746</v>
      </c>
      <c r="B785" s="60">
        <f>11.7414 * CHOOSE(CONTROL!$C$22, $C$13, 100%, $E$13)</f>
        <v>11.741400000000001</v>
      </c>
      <c r="C785" s="60">
        <f>11.7414 * CHOOSE(CONTROL!$C$22, $C$13, 100%, $E$13)</f>
        <v>11.741400000000001</v>
      </c>
      <c r="D785" s="60">
        <f>11.7602 * CHOOSE(CONTROL!$C$22, $C$13, 100%, $E$13)</f>
        <v>11.760199999999999</v>
      </c>
      <c r="E785" s="61">
        <f>14.1161 * CHOOSE(CONTROL!$C$22, $C$13, 100%, $E$13)</f>
        <v>14.116099999999999</v>
      </c>
      <c r="F785" s="61">
        <f>14.1161 * CHOOSE(CONTROL!$C$22, $C$13, 100%, $E$13)</f>
        <v>14.116099999999999</v>
      </c>
      <c r="G785" s="61">
        <f>14.1163 * CHOOSE(CONTROL!$C$22, $C$13, 100%, $E$13)</f>
        <v>14.116300000000001</v>
      </c>
      <c r="H785" s="61">
        <f>23.5031* CHOOSE(CONTROL!$C$22, $C$13, 100%, $E$13)</f>
        <v>23.5031</v>
      </c>
      <c r="I785" s="61">
        <f>23.5033 * CHOOSE(CONTROL!$C$22, $C$13, 100%, $E$13)</f>
        <v>23.503299999999999</v>
      </c>
      <c r="J785" s="61">
        <f>13.7439 * CHOOSE(CONTROL!$C$22, $C$13, 100%, $E$13)</f>
        <v>13.7439</v>
      </c>
      <c r="K785" s="61">
        <f>14.1163 * CHOOSE(CONTROL!$C$22, $C$13, 100%, $E$13)</f>
        <v>14.116300000000001</v>
      </c>
    </row>
    <row r="786" spans="1:11" ht="15">
      <c r="A786" s="13">
        <v>65777</v>
      </c>
      <c r="B786" s="60">
        <f>11.7383 * CHOOSE(CONTROL!$C$22, $C$13, 100%, $E$13)</f>
        <v>11.738300000000001</v>
      </c>
      <c r="C786" s="60">
        <f>11.7383 * CHOOSE(CONTROL!$C$22, $C$13, 100%, $E$13)</f>
        <v>11.738300000000001</v>
      </c>
      <c r="D786" s="60">
        <f>11.7571 * CHOOSE(CONTROL!$C$22, $C$13, 100%, $E$13)</f>
        <v>11.757099999999999</v>
      </c>
      <c r="E786" s="61">
        <f>13.8812 * CHOOSE(CONTROL!$C$22, $C$13, 100%, $E$13)</f>
        <v>13.8812</v>
      </c>
      <c r="F786" s="61">
        <f>13.8812 * CHOOSE(CONTROL!$C$22, $C$13, 100%, $E$13)</f>
        <v>13.8812</v>
      </c>
      <c r="G786" s="61">
        <f>13.8814 * CHOOSE(CONTROL!$C$22, $C$13, 100%, $E$13)</f>
        <v>13.881399999999999</v>
      </c>
      <c r="H786" s="61">
        <f>23.5521* CHOOSE(CONTROL!$C$22, $C$13, 100%, $E$13)</f>
        <v>23.552099999999999</v>
      </c>
      <c r="I786" s="61">
        <f>23.5523 * CHOOSE(CONTROL!$C$22, $C$13, 100%, $E$13)</f>
        <v>23.552299999999999</v>
      </c>
      <c r="J786" s="61">
        <f>13.5164 * CHOOSE(CONTROL!$C$22, $C$13, 100%, $E$13)</f>
        <v>13.516400000000001</v>
      </c>
      <c r="K786" s="61">
        <f>13.8814 * CHOOSE(CONTROL!$C$22, $C$13, 100%, $E$13)</f>
        <v>13.881399999999999</v>
      </c>
    </row>
    <row r="787" spans="1:11" ht="15">
      <c r="A787" s="13">
        <v>65806</v>
      </c>
      <c r="B787" s="60">
        <f>11.7353 * CHOOSE(CONTROL!$C$22, $C$13, 100%, $E$13)</f>
        <v>11.735300000000001</v>
      </c>
      <c r="C787" s="60">
        <f>11.7353 * CHOOSE(CONTROL!$C$22, $C$13, 100%, $E$13)</f>
        <v>11.735300000000001</v>
      </c>
      <c r="D787" s="60">
        <f>11.7541 * CHOOSE(CONTROL!$C$22, $C$13, 100%, $E$13)</f>
        <v>11.754099999999999</v>
      </c>
      <c r="E787" s="61">
        <f>14.0626 * CHOOSE(CONTROL!$C$22, $C$13, 100%, $E$13)</f>
        <v>14.0626</v>
      </c>
      <c r="F787" s="61">
        <f>14.0626 * CHOOSE(CONTROL!$C$22, $C$13, 100%, $E$13)</f>
        <v>14.0626</v>
      </c>
      <c r="G787" s="61">
        <f>14.0628 * CHOOSE(CONTROL!$C$22, $C$13, 100%, $E$13)</f>
        <v>14.062799999999999</v>
      </c>
      <c r="H787" s="61">
        <f>23.6012* CHOOSE(CONTROL!$C$22, $C$13, 100%, $E$13)</f>
        <v>23.601199999999999</v>
      </c>
      <c r="I787" s="61">
        <f>23.6013 * CHOOSE(CONTROL!$C$22, $C$13, 100%, $E$13)</f>
        <v>23.601299999999998</v>
      </c>
      <c r="J787" s="61">
        <f>13.6919 * CHOOSE(CONTROL!$C$22, $C$13, 100%, $E$13)</f>
        <v>13.6919</v>
      </c>
      <c r="K787" s="61">
        <f>14.0628 * CHOOSE(CONTROL!$C$22, $C$13, 100%, $E$13)</f>
        <v>14.062799999999999</v>
      </c>
    </row>
    <row r="788" spans="1:11" ht="15">
      <c r="A788" s="13">
        <v>65837</v>
      </c>
      <c r="B788" s="60">
        <f>11.7406 * CHOOSE(CONTROL!$C$22, $C$13, 100%, $E$13)</f>
        <v>11.740600000000001</v>
      </c>
      <c r="C788" s="60">
        <f>11.7406 * CHOOSE(CONTROL!$C$22, $C$13, 100%, $E$13)</f>
        <v>11.740600000000001</v>
      </c>
      <c r="D788" s="60">
        <f>11.7594 * CHOOSE(CONTROL!$C$22, $C$13, 100%, $E$13)</f>
        <v>11.759399999999999</v>
      </c>
      <c r="E788" s="61">
        <f>14.2555 * CHOOSE(CONTROL!$C$22, $C$13, 100%, $E$13)</f>
        <v>14.2555</v>
      </c>
      <c r="F788" s="61">
        <f>14.2555 * CHOOSE(CONTROL!$C$22, $C$13, 100%, $E$13)</f>
        <v>14.2555</v>
      </c>
      <c r="G788" s="61">
        <f>14.2557 * CHOOSE(CONTROL!$C$22, $C$13, 100%, $E$13)</f>
        <v>14.255699999999999</v>
      </c>
      <c r="H788" s="61">
        <f>23.6503* CHOOSE(CONTROL!$C$22, $C$13, 100%, $E$13)</f>
        <v>23.650300000000001</v>
      </c>
      <c r="I788" s="61">
        <f>23.6505 * CHOOSE(CONTROL!$C$22, $C$13, 100%, $E$13)</f>
        <v>23.650500000000001</v>
      </c>
      <c r="J788" s="61">
        <f>13.8785 * CHOOSE(CONTROL!$C$22, $C$13, 100%, $E$13)</f>
        <v>13.878500000000001</v>
      </c>
      <c r="K788" s="61">
        <f>14.2557 * CHOOSE(CONTROL!$C$22, $C$13, 100%, $E$13)</f>
        <v>14.255699999999999</v>
      </c>
    </row>
    <row r="789" spans="1:11" ht="15">
      <c r="A789" s="13">
        <v>65867</v>
      </c>
      <c r="B789" s="60">
        <f>11.7406 * CHOOSE(CONTROL!$C$22, $C$13, 100%, $E$13)</f>
        <v>11.740600000000001</v>
      </c>
      <c r="C789" s="60">
        <f>11.7406 * CHOOSE(CONTROL!$C$22, $C$13, 100%, $E$13)</f>
        <v>11.740600000000001</v>
      </c>
      <c r="D789" s="60">
        <f>11.7782 * CHOOSE(CONTROL!$C$22, $C$13, 100%, $E$13)</f>
        <v>11.7782</v>
      </c>
      <c r="E789" s="61">
        <f>14.3294 * CHOOSE(CONTROL!$C$22, $C$13, 100%, $E$13)</f>
        <v>14.3294</v>
      </c>
      <c r="F789" s="61">
        <f>14.3294 * CHOOSE(CONTROL!$C$22, $C$13, 100%, $E$13)</f>
        <v>14.3294</v>
      </c>
      <c r="G789" s="61">
        <f>14.3317 * CHOOSE(CONTROL!$C$22, $C$13, 100%, $E$13)</f>
        <v>14.3317</v>
      </c>
      <c r="H789" s="61">
        <f>23.6996* CHOOSE(CONTROL!$C$22, $C$13, 100%, $E$13)</f>
        <v>23.6996</v>
      </c>
      <c r="I789" s="61">
        <f>23.7019 * CHOOSE(CONTROL!$C$22, $C$13, 100%, $E$13)</f>
        <v>23.701899999999998</v>
      </c>
      <c r="J789" s="61">
        <f>13.95 * CHOOSE(CONTROL!$C$22, $C$13, 100%, $E$13)</f>
        <v>13.95</v>
      </c>
      <c r="K789" s="61">
        <f>14.3317 * CHOOSE(CONTROL!$C$22, $C$13, 100%, $E$13)</f>
        <v>14.3317</v>
      </c>
    </row>
    <row r="790" spans="1:11" ht="15">
      <c r="A790" s="13">
        <v>65898</v>
      </c>
      <c r="B790" s="60">
        <f>11.7466 * CHOOSE(CONTROL!$C$22, $C$13, 100%, $E$13)</f>
        <v>11.746600000000001</v>
      </c>
      <c r="C790" s="60">
        <f>11.7466 * CHOOSE(CONTROL!$C$22, $C$13, 100%, $E$13)</f>
        <v>11.746600000000001</v>
      </c>
      <c r="D790" s="60">
        <f>11.7843 * CHOOSE(CONTROL!$C$22, $C$13, 100%, $E$13)</f>
        <v>11.7843</v>
      </c>
      <c r="E790" s="61">
        <f>14.2597 * CHOOSE(CONTROL!$C$22, $C$13, 100%, $E$13)</f>
        <v>14.2597</v>
      </c>
      <c r="F790" s="61">
        <f>14.2597 * CHOOSE(CONTROL!$C$22, $C$13, 100%, $E$13)</f>
        <v>14.2597</v>
      </c>
      <c r="G790" s="61">
        <f>14.262 * CHOOSE(CONTROL!$C$22, $C$13, 100%, $E$13)</f>
        <v>14.262</v>
      </c>
      <c r="H790" s="61">
        <f>23.749* CHOOSE(CONTROL!$C$22, $C$13, 100%, $E$13)</f>
        <v>23.748999999999999</v>
      </c>
      <c r="I790" s="61">
        <f>23.7513 * CHOOSE(CONTROL!$C$22, $C$13, 100%, $E$13)</f>
        <v>23.751300000000001</v>
      </c>
      <c r="J790" s="61">
        <f>13.8827 * CHOOSE(CONTROL!$C$22, $C$13, 100%, $E$13)</f>
        <v>13.8827</v>
      </c>
      <c r="K790" s="61">
        <f>14.262 * CHOOSE(CONTROL!$C$22, $C$13, 100%, $E$13)</f>
        <v>14.262</v>
      </c>
    </row>
    <row r="791" spans="1:11" ht="15">
      <c r="A791" s="13">
        <v>65928</v>
      </c>
      <c r="B791" s="60">
        <f>11.9106 * CHOOSE(CONTROL!$C$22, $C$13, 100%, $E$13)</f>
        <v>11.910600000000001</v>
      </c>
      <c r="C791" s="60">
        <f>11.9106 * CHOOSE(CONTROL!$C$22, $C$13, 100%, $E$13)</f>
        <v>11.910600000000001</v>
      </c>
      <c r="D791" s="60">
        <f>11.9482 * CHOOSE(CONTROL!$C$22, $C$13, 100%, $E$13)</f>
        <v>11.9482</v>
      </c>
      <c r="E791" s="61">
        <f>14.5191 * CHOOSE(CONTROL!$C$22, $C$13, 100%, $E$13)</f>
        <v>14.5191</v>
      </c>
      <c r="F791" s="61">
        <f>14.5191 * CHOOSE(CONTROL!$C$22, $C$13, 100%, $E$13)</f>
        <v>14.5191</v>
      </c>
      <c r="G791" s="61">
        <f>14.5214 * CHOOSE(CONTROL!$C$22, $C$13, 100%, $E$13)</f>
        <v>14.5214</v>
      </c>
      <c r="H791" s="61">
        <f>23.7984* CHOOSE(CONTROL!$C$22, $C$13, 100%, $E$13)</f>
        <v>23.798400000000001</v>
      </c>
      <c r="I791" s="61">
        <f>23.8008 * CHOOSE(CONTROL!$C$22, $C$13, 100%, $E$13)</f>
        <v>23.800799999999999</v>
      </c>
      <c r="J791" s="61">
        <f>14.1357 * CHOOSE(CONTROL!$C$22, $C$13, 100%, $E$13)</f>
        <v>14.1357</v>
      </c>
      <c r="K791" s="61">
        <f>14.5214 * CHOOSE(CONTROL!$C$22, $C$13, 100%, $E$13)</f>
        <v>14.5214</v>
      </c>
    </row>
    <row r="792" spans="1:11" ht="15">
      <c r="A792" s="13">
        <v>65959</v>
      </c>
      <c r="B792" s="60">
        <f>11.9173 * CHOOSE(CONTROL!$C$22, $C$13, 100%, $E$13)</f>
        <v>11.917299999999999</v>
      </c>
      <c r="C792" s="60">
        <f>11.9173 * CHOOSE(CONTROL!$C$22, $C$13, 100%, $E$13)</f>
        <v>11.917299999999999</v>
      </c>
      <c r="D792" s="60">
        <f>11.9549 * CHOOSE(CONTROL!$C$22, $C$13, 100%, $E$13)</f>
        <v>11.9549</v>
      </c>
      <c r="E792" s="61">
        <f>14.302 * CHOOSE(CONTROL!$C$22, $C$13, 100%, $E$13)</f>
        <v>14.302</v>
      </c>
      <c r="F792" s="61">
        <f>14.302 * CHOOSE(CONTROL!$C$22, $C$13, 100%, $E$13)</f>
        <v>14.302</v>
      </c>
      <c r="G792" s="61">
        <f>14.3044 * CHOOSE(CONTROL!$C$22, $C$13, 100%, $E$13)</f>
        <v>14.304399999999999</v>
      </c>
      <c r="H792" s="61">
        <f>23.848* CHOOSE(CONTROL!$C$22, $C$13, 100%, $E$13)</f>
        <v>23.847999999999999</v>
      </c>
      <c r="I792" s="61">
        <f>23.8503 * CHOOSE(CONTROL!$C$22, $C$13, 100%, $E$13)</f>
        <v>23.850300000000001</v>
      </c>
      <c r="J792" s="61">
        <f>13.9257 * CHOOSE(CONTROL!$C$22, $C$13, 100%, $E$13)</f>
        <v>13.925700000000001</v>
      </c>
      <c r="K792" s="61">
        <f>14.3044 * CHOOSE(CONTROL!$C$22, $C$13, 100%, $E$13)</f>
        <v>14.304399999999999</v>
      </c>
    </row>
    <row r="793" spans="1:11" ht="15">
      <c r="A793" s="13">
        <v>65990</v>
      </c>
      <c r="B793" s="60">
        <f>11.9143 * CHOOSE(CONTROL!$C$22, $C$13, 100%, $E$13)</f>
        <v>11.914300000000001</v>
      </c>
      <c r="C793" s="60">
        <f>11.9143 * CHOOSE(CONTROL!$C$22, $C$13, 100%, $E$13)</f>
        <v>11.914300000000001</v>
      </c>
      <c r="D793" s="60">
        <f>11.9519 * CHOOSE(CONTROL!$C$22, $C$13, 100%, $E$13)</f>
        <v>11.9519</v>
      </c>
      <c r="E793" s="61">
        <f>14.2753 * CHOOSE(CONTROL!$C$22, $C$13, 100%, $E$13)</f>
        <v>14.2753</v>
      </c>
      <c r="F793" s="61">
        <f>14.2753 * CHOOSE(CONTROL!$C$22, $C$13, 100%, $E$13)</f>
        <v>14.2753</v>
      </c>
      <c r="G793" s="61">
        <f>14.2776 * CHOOSE(CONTROL!$C$22, $C$13, 100%, $E$13)</f>
        <v>14.2776</v>
      </c>
      <c r="H793" s="61">
        <f>23.8977* CHOOSE(CONTROL!$C$22, $C$13, 100%, $E$13)</f>
        <v>23.8977</v>
      </c>
      <c r="I793" s="61">
        <f>23.9 * CHOOSE(CONTROL!$C$22, $C$13, 100%, $E$13)</f>
        <v>23.9</v>
      </c>
      <c r="J793" s="61">
        <f>13.8997 * CHOOSE(CONTROL!$C$22, $C$13, 100%, $E$13)</f>
        <v>13.899699999999999</v>
      </c>
      <c r="K793" s="61">
        <f>14.2776 * CHOOSE(CONTROL!$C$22, $C$13, 100%, $E$13)</f>
        <v>14.2776</v>
      </c>
    </row>
    <row r="794" spans="1:11" ht="15">
      <c r="A794" s="13">
        <v>66020</v>
      </c>
      <c r="B794" s="60">
        <f>11.9394 * CHOOSE(CONTROL!$C$22, $C$13, 100%, $E$13)</f>
        <v>11.939399999999999</v>
      </c>
      <c r="C794" s="60">
        <f>11.9394 * CHOOSE(CONTROL!$C$22, $C$13, 100%, $E$13)</f>
        <v>11.939399999999999</v>
      </c>
      <c r="D794" s="60">
        <f>11.9582 * CHOOSE(CONTROL!$C$22, $C$13, 100%, $E$13)</f>
        <v>11.9582</v>
      </c>
      <c r="E794" s="61">
        <f>14.3604 * CHOOSE(CONTROL!$C$22, $C$13, 100%, $E$13)</f>
        <v>14.3604</v>
      </c>
      <c r="F794" s="61">
        <f>14.3604 * CHOOSE(CONTROL!$C$22, $C$13, 100%, $E$13)</f>
        <v>14.3604</v>
      </c>
      <c r="G794" s="61">
        <f>14.3606 * CHOOSE(CONTROL!$C$22, $C$13, 100%, $E$13)</f>
        <v>14.3606</v>
      </c>
      <c r="H794" s="61">
        <f>23.9475* CHOOSE(CONTROL!$C$22, $C$13, 100%, $E$13)</f>
        <v>23.947500000000002</v>
      </c>
      <c r="I794" s="61">
        <f>23.9477 * CHOOSE(CONTROL!$C$22, $C$13, 100%, $E$13)</f>
        <v>23.947700000000001</v>
      </c>
      <c r="J794" s="61">
        <f>13.9817 * CHOOSE(CONTROL!$C$22, $C$13, 100%, $E$13)</f>
        <v>13.9817</v>
      </c>
      <c r="K794" s="61">
        <f>14.3606 * CHOOSE(CONTROL!$C$22, $C$13, 100%, $E$13)</f>
        <v>14.3606</v>
      </c>
    </row>
    <row r="795" spans="1:11" ht="15">
      <c r="A795" s="13">
        <v>66051</v>
      </c>
      <c r="B795" s="60">
        <f>11.9424 * CHOOSE(CONTROL!$C$22, $C$13, 100%, $E$13)</f>
        <v>11.942399999999999</v>
      </c>
      <c r="C795" s="60">
        <f>11.9424 * CHOOSE(CONTROL!$C$22, $C$13, 100%, $E$13)</f>
        <v>11.942399999999999</v>
      </c>
      <c r="D795" s="60">
        <f>11.9613 * CHOOSE(CONTROL!$C$22, $C$13, 100%, $E$13)</f>
        <v>11.9613</v>
      </c>
      <c r="E795" s="61">
        <f>14.4118 * CHOOSE(CONTROL!$C$22, $C$13, 100%, $E$13)</f>
        <v>14.411799999999999</v>
      </c>
      <c r="F795" s="61">
        <f>14.4118 * CHOOSE(CONTROL!$C$22, $C$13, 100%, $E$13)</f>
        <v>14.411799999999999</v>
      </c>
      <c r="G795" s="61">
        <f>14.412 * CHOOSE(CONTROL!$C$22, $C$13, 100%, $E$13)</f>
        <v>14.412000000000001</v>
      </c>
      <c r="H795" s="61">
        <f>23.9974* CHOOSE(CONTROL!$C$22, $C$13, 100%, $E$13)</f>
        <v>23.997399999999999</v>
      </c>
      <c r="I795" s="61">
        <f>23.9976 * CHOOSE(CONTROL!$C$22, $C$13, 100%, $E$13)</f>
        <v>23.997599999999998</v>
      </c>
      <c r="J795" s="61">
        <f>14.0315 * CHOOSE(CONTROL!$C$22, $C$13, 100%, $E$13)</f>
        <v>14.031499999999999</v>
      </c>
      <c r="K795" s="61">
        <f>14.412 * CHOOSE(CONTROL!$C$22, $C$13, 100%, $E$13)</f>
        <v>14.412000000000001</v>
      </c>
    </row>
    <row r="796" spans="1:11" ht="15">
      <c r="A796" s="13">
        <v>66081</v>
      </c>
      <c r="B796" s="60">
        <f>11.9424 * CHOOSE(CONTROL!$C$22, $C$13, 100%, $E$13)</f>
        <v>11.942399999999999</v>
      </c>
      <c r="C796" s="60">
        <f>11.9424 * CHOOSE(CONTROL!$C$22, $C$13, 100%, $E$13)</f>
        <v>11.942399999999999</v>
      </c>
      <c r="D796" s="60">
        <f>11.9613 * CHOOSE(CONTROL!$C$22, $C$13, 100%, $E$13)</f>
        <v>11.9613</v>
      </c>
      <c r="E796" s="61">
        <f>14.2886 * CHOOSE(CONTROL!$C$22, $C$13, 100%, $E$13)</f>
        <v>14.288600000000001</v>
      </c>
      <c r="F796" s="61">
        <f>14.2886 * CHOOSE(CONTROL!$C$22, $C$13, 100%, $E$13)</f>
        <v>14.288600000000001</v>
      </c>
      <c r="G796" s="61">
        <f>14.2888 * CHOOSE(CONTROL!$C$22, $C$13, 100%, $E$13)</f>
        <v>14.2888</v>
      </c>
      <c r="H796" s="61">
        <f>24.0474* CHOOSE(CONTROL!$C$22, $C$13, 100%, $E$13)</f>
        <v>24.0474</v>
      </c>
      <c r="I796" s="61">
        <f>24.0476 * CHOOSE(CONTROL!$C$22, $C$13, 100%, $E$13)</f>
        <v>24.047599999999999</v>
      </c>
      <c r="J796" s="61">
        <f>13.9123 * CHOOSE(CONTROL!$C$22, $C$13, 100%, $E$13)</f>
        <v>13.9123</v>
      </c>
      <c r="K796" s="61">
        <f>14.2888 * CHOOSE(CONTROL!$C$22, $C$13, 100%, $E$13)</f>
        <v>14.2888</v>
      </c>
    </row>
    <row r="797" spans="1:11" ht="15">
      <c r="A797" s="13">
        <v>66112</v>
      </c>
      <c r="B797" s="60">
        <f>11.9534 * CHOOSE(CONTROL!$C$22, $C$13, 100%, $E$13)</f>
        <v>11.9534</v>
      </c>
      <c r="C797" s="60">
        <f>11.9534 * CHOOSE(CONTROL!$C$22, $C$13, 100%, $E$13)</f>
        <v>11.9534</v>
      </c>
      <c r="D797" s="60">
        <f>11.9722 * CHOOSE(CONTROL!$C$22, $C$13, 100%, $E$13)</f>
        <v>11.972200000000001</v>
      </c>
      <c r="E797" s="61">
        <f>14.3899 * CHOOSE(CONTROL!$C$22, $C$13, 100%, $E$13)</f>
        <v>14.389900000000001</v>
      </c>
      <c r="F797" s="61">
        <f>14.3899 * CHOOSE(CONTROL!$C$22, $C$13, 100%, $E$13)</f>
        <v>14.389900000000001</v>
      </c>
      <c r="G797" s="61">
        <f>14.3901 * CHOOSE(CONTROL!$C$22, $C$13, 100%, $E$13)</f>
        <v>14.3901</v>
      </c>
      <c r="H797" s="61">
        <f>23.9046* CHOOSE(CONTROL!$C$22, $C$13, 100%, $E$13)</f>
        <v>23.904599999999999</v>
      </c>
      <c r="I797" s="61">
        <f>23.9048 * CHOOSE(CONTROL!$C$22, $C$13, 100%, $E$13)</f>
        <v>23.904800000000002</v>
      </c>
      <c r="J797" s="61">
        <f>13.9957 * CHOOSE(CONTROL!$C$22, $C$13, 100%, $E$13)</f>
        <v>13.995699999999999</v>
      </c>
      <c r="K797" s="61">
        <f>14.3901 * CHOOSE(CONTROL!$C$22, $C$13, 100%, $E$13)</f>
        <v>14.3901</v>
      </c>
    </row>
    <row r="798" spans="1:11" ht="15">
      <c r="A798" s="13">
        <v>66143</v>
      </c>
      <c r="B798" s="60">
        <f>11.9503 * CHOOSE(CONTROL!$C$22, $C$13, 100%, $E$13)</f>
        <v>11.9503</v>
      </c>
      <c r="C798" s="60">
        <f>11.9503 * CHOOSE(CONTROL!$C$22, $C$13, 100%, $E$13)</f>
        <v>11.9503</v>
      </c>
      <c r="D798" s="60">
        <f>11.9691 * CHOOSE(CONTROL!$C$22, $C$13, 100%, $E$13)</f>
        <v>11.969099999999999</v>
      </c>
      <c r="E798" s="61">
        <f>14.15 * CHOOSE(CONTROL!$C$22, $C$13, 100%, $E$13)</f>
        <v>14.15</v>
      </c>
      <c r="F798" s="61">
        <f>14.15 * CHOOSE(CONTROL!$C$22, $C$13, 100%, $E$13)</f>
        <v>14.15</v>
      </c>
      <c r="G798" s="61">
        <f>14.1502 * CHOOSE(CONTROL!$C$22, $C$13, 100%, $E$13)</f>
        <v>14.1502</v>
      </c>
      <c r="H798" s="61">
        <f>23.9544* CHOOSE(CONTROL!$C$22, $C$13, 100%, $E$13)</f>
        <v>23.9544</v>
      </c>
      <c r="I798" s="61">
        <f>23.9546 * CHOOSE(CONTROL!$C$22, $C$13, 100%, $E$13)</f>
        <v>23.954599999999999</v>
      </c>
      <c r="J798" s="61">
        <f>13.7638 * CHOOSE(CONTROL!$C$22, $C$13, 100%, $E$13)</f>
        <v>13.7638</v>
      </c>
      <c r="K798" s="61">
        <f>14.1502 * CHOOSE(CONTROL!$C$22, $C$13, 100%, $E$13)</f>
        <v>14.1502</v>
      </c>
    </row>
    <row r="799" spans="1:11" ht="15">
      <c r="A799" s="13">
        <v>66171</v>
      </c>
      <c r="B799" s="60">
        <f>11.9473 * CHOOSE(CONTROL!$C$22, $C$13, 100%, $E$13)</f>
        <v>11.9473</v>
      </c>
      <c r="C799" s="60">
        <f>11.9473 * CHOOSE(CONTROL!$C$22, $C$13, 100%, $E$13)</f>
        <v>11.9473</v>
      </c>
      <c r="D799" s="60">
        <f>11.9661 * CHOOSE(CONTROL!$C$22, $C$13, 100%, $E$13)</f>
        <v>11.966100000000001</v>
      </c>
      <c r="E799" s="61">
        <f>14.3353 * CHOOSE(CONTROL!$C$22, $C$13, 100%, $E$13)</f>
        <v>14.3353</v>
      </c>
      <c r="F799" s="61">
        <f>14.3353 * CHOOSE(CONTROL!$C$22, $C$13, 100%, $E$13)</f>
        <v>14.3353</v>
      </c>
      <c r="G799" s="61">
        <f>14.3355 * CHOOSE(CONTROL!$C$22, $C$13, 100%, $E$13)</f>
        <v>14.3355</v>
      </c>
      <c r="H799" s="61">
        <f>24.0043* CHOOSE(CONTROL!$C$22, $C$13, 100%, $E$13)</f>
        <v>24.004300000000001</v>
      </c>
      <c r="I799" s="61">
        <f>24.0045 * CHOOSE(CONTROL!$C$22, $C$13, 100%, $E$13)</f>
        <v>24.0045</v>
      </c>
      <c r="J799" s="61">
        <f>13.9428 * CHOOSE(CONTROL!$C$22, $C$13, 100%, $E$13)</f>
        <v>13.9428</v>
      </c>
      <c r="K799" s="61">
        <f>14.3355 * CHOOSE(CONTROL!$C$22, $C$13, 100%, $E$13)</f>
        <v>14.3355</v>
      </c>
    </row>
    <row r="800" spans="1:11" ht="15">
      <c r="A800" s="13">
        <v>66202</v>
      </c>
      <c r="B800" s="60">
        <f>11.9528 * CHOOSE(CONTROL!$C$22, $C$13, 100%, $E$13)</f>
        <v>11.9528</v>
      </c>
      <c r="C800" s="60">
        <f>11.9528 * CHOOSE(CONTROL!$C$22, $C$13, 100%, $E$13)</f>
        <v>11.9528</v>
      </c>
      <c r="D800" s="60">
        <f>11.9716 * CHOOSE(CONTROL!$C$22, $C$13, 100%, $E$13)</f>
        <v>11.9716</v>
      </c>
      <c r="E800" s="61">
        <f>14.5324 * CHOOSE(CONTROL!$C$22, $C$13, 100%, $E$13)</f>
        <v>14.532400000000001</v>
      </c>
      <c r="F800" s="61">
        <f>14.5324 * CHOOSE(CONTROL!$C$22, $C$13, 100%, $E$13)</f>
        <v>14.532400000000001</v>
      </c>
      <c r="G800" s="61">
        <f>14.5325 * CHOOSE(CONTROL!$C$22, $C$13, 100%, $E$13)</f>
        <v>14.532500000000001</v>
      </c>
      <c r="H800" s="61">
        <f>24.0543* CHOOSE(CONTROL!$C$22, $C$13, 100%, $E$13)</f>
        <v>24.054300000000001</v>
      </c>
      <c r="I800" s="61">
        <f>24.0545 * CHOOSE(CONTROL!$C$22, $C$13, 100%, $E$13)</f>
        <v>24.054500000000001</v>
      </c>
      <c r="J800" s="61">
        <f>14.1332 * CHOOSE(CONTROL!$C$22, $C$13, 100%, $E$13)</f>
        <v>14.1332</v>
      </c>
      <c r="K800" s="61">
        <f>14.5325 * CHOOSE(CONTROL!$C$22, $C$13, 100%, $E$13)</f>
        <v>14.532500000000001</v>
      </c>
    </row>
    <row r="801" spans="1:11" ht="15">
      <c r="A801" s="13">
        <v>66232</v>
      </c>
      <c r="B801" s="60">
        <f>11.9528 * CHOOSE(CONTROL!$C$22, $C$13, 100%, $E$13)</f>
        <v>11.9528</v>
      </c>
      <c r="C801" s="60">
        <f>11.9528 * CHOOSE(CONTROL!$C$22, $C$13, 100%, $E$13)</f>
        <v>11.9528</v>
      </c>
      <c r="D801" s="60">
        <f>11.9904 * CHOOSE(CONTROL!$C$22, $C$13, 100%, $E$13)</f>
        <v>11.990399999999999</v>
      </c>
      <c r="E801" s="61">
        <f>14.6078 * CHOOSE(CONTROL!$C$22, $C$13, 100%, $E$13)</f>
        <v>14.607799999999999</v>
      </c>
      <c r="F801" s="61">
        <f>14.6078 * CHOOSE(CONTROL!$C$22, $C$13, 100%, $E$13)</f>
        <v>14.607799999999999</v>
      </c>
      <c r="G801" s="61">
        <f>14.6101 * CHOOSE(CONTROL!$C$22, $C$13, 100%, $E$13)</f>
        <v>14.610099999999999</v>
      </c>
      <c r="H801" s="61">
        <f>24.1044* CHOOSE(CONTROL!$C$22, $C$13, 100%, $E$13)</f>
        <v>24.104399999999998</v>
      </c>
      <c r="I801" s="61">
        <f>24.1067 * CHOOSE(CONTROL!$C$22, $C$13, 100%, $E$13)</f>
        <v>24.1067</v>
      </c>
      <c r="J801" s="61">
        <f>14.2061 * CHOOSE(CONTROL!$C$22, $C$13, 100%, $E$13)</f>
        <v>14.206099999999999</v>
      </c>
      <c r="K801" s="61">
        <f>14.6101 * CHOOSE(CONTROL!$C$22, $C$13, 100%, $E$13)</f>
        <v>14.610099999999999</v>
      </c>
    </row>
    <row r="802" spans="1:11" ht="15">
      <c r="A802" s="13">
        <v>66263</v>
      </c>
      <c r="B802" s="60">
        <f>11.9589 * CHOOSE(CONTROL!$C$22, $C$13, 100%, $E$13)</f>
        <v>11.9589</v>
      </c>
      <c r="C802" s="60">
        <f>11.9589 * CHOOSE(CONTROL!$C$22, $C$13, 100%, $E$13)</f>
        <v>11.9589</v>
      </c>
      <c r="D802" s="60">
        <f>11.9965 * CHOOSE(CONTROL!$C$22, $C$13, 100%, $E$13)</f>
        <v>11.996499999999999</v>
      </c>
      <c r="E802" s="61">
        <f>14.5366 * CHOOSE(CONTROL!$C$22, $C$13, 100%, $E$13)</f>
        <v>14.5366</v>
      </c>
      <c r="F802" s="61">
        <f>14.5366 * CHOOSE(CONTROL!$C$22, $C$13, 100%, $E$13)</f>
        <v>14.5366</v>
      </c>
      <c r="G802" s="61">
        <f>14.5389 * CHOOSE(CONTROL!$C$22, $C$13, 100%, $E$13)</f>
        <v>14.5389</v>
      </c>
      <c r="H802" s="61">
        <f>24.1546* CHOOSE(CONTROL!$C$22, $C$13, 100%, $E$13)</f>
        <v>24.154599999999999</v>
      </c>
      <c r="I802" s="61">
        <f>24.1569 * CHOOSE(CONTROL!$C$22, $C$13, 100%, $E$13)</f>
        <v>24.1569</v>
      </c>
      <c r="J802" s="61">
        <f>14.1374 * CHOOSE(CONTROL!$C$22, $C$13, 100%, $E$13)</f>
        <v>14.1374</v>
      </c>
      <c r="K802" s="61">
        <f>14.5389 * CHOOSE(CONTROL!$C$22, $C$13, 100%, $E$13)</f>
        <v>14.5389</v>
      </c>
    </row>
    <row r="803" spans="1:11" ht="15">
      <c r="A803" s="13">
        <v>66293</v>
      </c>
      <c r="B803" s="60">
        <f>12.1255 * CHOOSE(CONTROL!$C$22, $C$13, 100%, $E$13)</f>
        <v>12.125500000000001</v>
      </c>
      <c r="C803" s="60">
        <f>12.1255 * CHOOSE(CONTROL!$C$22, $C$13, 100%, $E$13)</f>
        <v>12.125500000000001</v>
      </c>
      <c r="D803" s="60">
        <f>12.1631 * CHOOSE(CONTROL!$C$22, $C$13, 100%, $E$13)</f>
        <v>12.1631</v>
      </c>
      <c r="E803" s="61">
        <f>14.8008 * CHOOSE(CONTROL!$C$22, $C$13, 100%, $E$13)</f>
        <v>14.800800000000001</v>
      </c>
      <c r="F803" s="61">
        <f>14.8008 * CHOOSE(CONTROL!$C$22, $C$13, 100%, $E$13)</f>
        <v>14.800800000000001</v>
      </c>
      <c r="G803" s="61">
        <f>14.8031 * CHOOSE(CONTROL!$C$22, $C$13, 100%, $E$13)</f>
        <v>14.803100000000001</v>
      </c>
      <c r="H803" s="61">
        <f>24.2049* CHOOSE(CONTROL!$C$22, $C$13, 100%, $E$13)</f>
        <v>24.204899999999999</v>
      </c>
      <c r="I803" s="61">
        <f>24.2073 * CHOOSE(CONTROL!$C$22, $C$13, 100%, $E$13)</f>
        <v>24.2073</v>
      </c>
      <c r="J803" s="61">
        <f>14.3948 * CHOOSE(CONTROL!$C$22, $C$13, 100%, $E$13)</f>
        <v>14.3948</v>
      </c>
      <c r="K803" s="61">
        <f>14.8031 * CHOOSE(CONTROL!$C$22, $C$13, 100%, $E$13)</f>
        <v>14.803100000000001</v>
      </c>
    </row>
    <row r="804" spans="1:11" ht="15">
      <c r="A804" s="13">
        <v>66324</v>
      </c>
      <c r="B804" s="60">
        <f>12.1322 * CHOOSE(CONTROL!$C$22, $C$13, 100%, $E$13)</f>
        <v>12.132199999999999</v>
      </c>
      <c r="C804" s="60">
        <f>12.1322 * CHOOSE(CONTROL!$C$22, $C$13, 100%, $E$13)</f>
        <v>12.132199999999999</v>
      </c>
      <c r="D804" s="60">
        <f>12.1698 * CHOOSE(CONTROL!$C$22, $C$13, 100%, $E$13)</f>
        <v>12.1698</v>
      </c>
      <c r="E804" s="61">
        <f>14.579 * CHOOSE(CONTROL!$C$22, $C$13, 100%, $E$13)</f>
        <v>14.579000000000001</v>
      </c>
      <c r="F804" s="61">
        <f>14.579 * CHOOSE(CONTROL!$C$22, $C$13, 100%, $E$13)</f>
        <v>14.579000000000001</v>
      </c>
      <c r="G804" s="61">
        <f>14.5814 * CHOOSE(CONTROL!$C$22, $C$13, 100%, $E$13)</f>
        <v>14.5814</v>
      </c>
      <c r="H804" s="61">
        <f>24.2554* CHOOSE(CONTROL!$C$22, $C$13, 100%, $E$13)</f>
        <v>24.255400000000002</v>
      </c>
      <c r="I804" s="61">
        <f>24.2577 * CHOOSE(CONTROL!$C$22, $C$13, 100%, $E$13)</f>
        <v>24.2577</v>
      </c>
      <c r="J804" s="61">
        <f>14.1806 * CHOOSE(CONTROL!$C$22, $C$13, 100%, $E$13)</f>
        <v>14.1806</v>
      </c>
      <c r="K804" s="61">
        <f>14.5814 * CHOOSE(CONTROL!$C$22, $C$13, 100%, $E$13)</f>
        <v>14.5814</v>
      </c>
    </row>
    <row r="805" spans="1:11" ht="15">
      <c r="A805" s="13">
        <v>66355</v>
      </c>
      <c r="B805" s="60">
        <f>12.1292 * CHOOSE(CONTROL!$C$22, $C$13, 100%, $E$13)</f>
        <v>12.129200000000001</v>
      </c>
      <c r="C805" s="60">
        <f>12.1292 * CHOOSE(CONTROL!$C$22, $C$13, 100%, $E$13)</f>
        <v>12.129200000000001</v>
      </c>
      <c r="D805" s="60">
        <f>12.1668 * CHOOSE(CONTROL!$C$22, $C$13, 100%, $E$13)</f>
        <v>12.1668</v>
      </c>
      <c r="E805" s="61">
        <f>14.5518 * CHOOSE(CONTROL!$C$22, $C$13, 100%, $E$13)</f>
        <v>14.5518</v>
      </c>
      <c r="F805" s="61">
        <f>14.5518 * CHOOSE(CONTROL!$C$22, $C$13, 100%, $E$13)</f>
        <v>14.5518</v>
      </c>
      <c r="G805" s="61">
        <f>14.5541 * CHOOSE(CONTROL!$C$22, $C$13, 100%, $E$13)</f>
        <v>14.5541</v>
      </c>
      <c r="H805" s="61">
        <f>24.3059* CHOOSE(CONTROL!$C$22, $C$13, 100%, $E$13)</f>
        <v>24.305900000000001</v>
      </c>
      <c r="I805" s="61">
        <f>24.3082 * CHOOSE(CONTROL!$C$22, $C$13, 100%, $E$13)</f>
        <v>24.308199999999999</v>
      </c>
      <c r="J805" s="61">
        <f>14.1541 * CHOOSE(CONTROL!$C$22, $C$13, 100%, $E$13)</f>
        <v>14.1541</v>
      </c>
      <c r="K805" s="61">
        <f>14.5541 * CHOOSE(CONTROL!$C$22, $C$13, 100%, $E$13)</f>
        <v>14.5541</v>
      </c>
    </row>
    <row r="806" spans="1:11" ht="15">
      <c r="A806" s="13">
        <v>66385</v>
      </c>
      <c r="B806" s="60">
        <f>12.1551 * CHOOSE(CONTROL!$C$22, $C$13, 100%, $E$13)</f>
        <v>12.155099999999999</v>
      </c>
      <c r="C806" s="60">
        <f>12.1551 * CHOOSE(CONTROL!$C$22, $C$13, 100%, $E$13)</f>
        <v>12.155099999999999</v>
      </c>
      <c r="D806" s="60">
        <f>12.1739 * CHOOSE(CONTROL!$C$22, $C$13, 100%, $E$13)</f>
        <v>12.1739</v>
      </c>
      <c r="E806" s="61">
        <f>14.639 * CHOOSE(CONTROL!$C$22, $C$13, 100%, $E$13)</f>
        <v>14.638999999999999</v>
      </c>
      <c r="F806" s="61">
        <f>14.639 * CHOOSE(CONTROL!$C$22, $C$13, 100%, $E$13)</f>
        <v>14.638999999999999</v>
      </c>
      <c r="G806" s="61">
        <f>14.6392 * CHOOSE(CONTROL!$C$22, $C$13, 100%, $E$13)</f>
        <v>14.639200000000001</v>
      </c>
      <c r="H806" s="61">
        <f>24.3565* CHOOSE(CONTROL!$C$22, $C$13, 100%, $E$13)</f>
        <v>24.3565</v>
      </c>
      <c r="I806" s="61">
        <f>24.3567 * CHOOSE(CONTROL!$C$22, $C$13, 100%, $E$13)</f>
        <v>24.3567</v>
      </c>
      <c r="J806" s="61">
        <f>14.238 * CHOOSE(CONTROL!$C$22, $C$13, 100%, $E$13)</f>
        <v>14.238</v>
      </c>
      <c r="K806" s="61">
        <f>14.6392 * CHOOSE(CONTROL!$C$22, $C$13, 100%, $E$13)</f>
        <v>14.639200000000001</v>
      </c>
    </row>
    <row r="807" spans="1:11" ht="15">
      <c r="A807" s="13">
        <v>66416</v>
      </c>
      <c r="B807" s="60">
        <f>12.1582 * CHOOSE(CONTROL!$C$22, $C$13, 100%, $E$13)</f>
        <v>12.158200000000001</v>
      </c>
      <c r="C807" s="60">
        <f>12.1582 * CHOOSE(CONTROL!$C$22, $C$13, 100%, $E$13)</f>
        <v>12.158200000000001</v>
      </c>
      <c r="D807" s="60">
        <f>12.177 * CHOOSE(CONTROL!$C$22, $C$13, 100%, $E$13)</f>
        <v>12.177</v>
      </c>
      <c r="E807" s="61">
        <f>14.6914 * CHOOSE(CONTROL!$C$22, $C$13, 100%, $E$13)</f>
        <v>14.6914</v>
      </c>
      <c r="F807" s="61">
        <f>14.6914 * CHOOSE(CONTROL!$C$22, $C$13, 100%, $E$13)</f>
        <v>14.6914</v>
      </c>
      <c r="G807" s="61">
        <f>14.6916 * CHOOSE(CONTROL!$C$22, $C$13, 100%, $E$13)</f>
        <v>14.691599999999999</v>
      </c>
      <c r="H807" s="61">
        <f>24.4073* CHOOSE(CONTROL!$C$22, $C$13, 100%, $E$13)</f>
        <v>24.407299999999999</v>
      </c>
      <c r="I807" s="61">
        <f>24.4075 * CHOOSE(CONTROL!$C$22, $C$13, 100%, $E$13)</f>
        <v>24.407499999999999</v>
      </c>
      <c r="J807" s="61">
        <f>14.2887 * CHOOSE(CONTROL!$C$22, $C$13, 100%, $E$13)</f>
        <v>14.2887</v>
      </c>
      <c r="K807" s="61">
        <f>14.6916 * CHOOSE(CONTROL!$C$22, $C$13, 100%, $E$13)</f>
        <v>14.691599999999999</v>
      </c>
    </row>
    <row r="808" spans="1:11" ht="15">
      <c r="A808" s="13">
        <v>66446</v>
      </c>
      <c r="B808" s="60">
        <f>12.1582 * CHOOSE(CONTROL!$C$22, $C$13, 100%, $E$13)</f>
        <v>12.158200000000001</v>
      </c>
      <c r="C808" s="60">
        <f>12.1582 * CHOOSE(CONTROL!$C$22, $C$13, 100%, $E$13)</f>
        <v>12.158200000000001</v>
      </c>
      <c r="D808" s="60">
        <f>12.177 * CHOOSE(CONTROL!$C$22, $C$13, 100%, $E$13)</f>
        <v>12.177</v>
      </c>
      <c r="E808" s="61">
        <f>14.5656 * CHOOSE(CONTROL!$C$22, $C$13, 100%, $E$13)</f>
        <v>14.5656</v>
      </c>
      <c r="F808" s="61">
        <f>14.5656 * CHOOSE(CONTROL!$C$22, $C$13, 100%, $E$13)</f>
        <v>14.5656</v>
      </c>
      <c r="G808" s="61">
        <f>14.5658 * CHOOSE(CONTROL!$C$22, $C$13, 100%, $E$13)</f>
        <v>14.565799999999999</v>
      </c>
      <c r="H808" s="61">
        <f>24.4581* CHOOSE(CONTROL!$C$22, $C$13, 100%, $E$13)</f>
        <v>24.458100000000002</v>
      </c>
      <c r="I808" s="61">
        <f>24.4583 * CHOOSE(CONTROL!$C$22, $C$13, 100%, $E$13)</f>
        <v>24.458300000000001</v>
      </c>
      <c r="J808" s="61">
        <f>14.1671 * CHOOSE(CONTROL!$C$22, $C$13, 100%, $E$13)</f>
        <v>14.1671</v>
      </c>
      <c r="K808" s="61">
        <f>14.5658 * CHOOSE(CONTROL!$C$22, $C$13, 100%, $E$13)</f>
        <v>14.565799999999999</v>
      </c>
    </row>
    <row r="809" spans="1:11" ht="15">
      <c r="A809" s="13">
        <v>66477</v>
      </c>
      <c r="B809" s="60">
        <f>12.1654 * CHOOSE(CONTROL!$C$22, $C$13, 100%, $E$13)</f>
        <v>12.1654</v>
      </c>
      <c r="C809" s="60">
        <f>12.1654 * CHOOSE(CONTROL!$C$22, $C$13, 100%, $E$13)</f>
        <v>12.1654</v>
      </c>
      <c r="D809" s="60">
        <f>12.1842 * CHOOSE(CONTROL!$C$22, $C$13, 100%, $E$13)</f>
        <v>12.184200000000001</v>
      </c>
      <c r="E809" s="61">
        <f>14.6636 * CHOOSE(CONTROL!$C$22, $C$13, 100%, $E$13)</f>
        <v>14.663600000000001</v>
      </c>
      <c r="F809" s="61">
        <f>14.6636 * CHOOSE(CONTROL!$C$22, $C$13, 100%, $E$13)</f>
        <v>14.663600000000001</v>
      </c>
      <c r="G809" s="61">
        <f>14.6638 * CHOOSE(CONTROL!$C$22, $C$13, 100%, $E$13)</f>
        <v>14.6638</v>
      </c>
      <c r="H809" s="61">
        <f>24.306* CHOOSE(CONTROL!$C$22, $C$13, 100%, $E$13)</f>
        <v>24.306000000000001</v>
      </c>
      <c r="I809" s="61">
        <f>24.3062 * CHOOSE(CONTROL!$C$22, $C$13, 100%, $E$13)</f>
        <v>24.3062</v>
      </c>
      <c r="J809" s="61">
        <f>14.2475 * CHOOSE(CONTROL!$C$22, $C$13, 100%, $E$13)</f>
        <v>14.2475</v>
      </c>
      <c r="K809" s="61">
        <f>14.6638 * CHOOSE(CONTROL!$C$22, $C$13, 100%, $E$13)</f>
        <v>14.6638</v>
      </c>
    </row>
    <row r="810" spans="1:11" ht="15">
      <c r="A810" s="13">
        <v>66508</v>
      </c>
      <c r="B810" s="60">
        <f>12.1623 * CHOOSE(CONTROL!$C$22, $C$13, 100%, $E$13)</f>
        <v>12.1623</v>
      </c>
      <c r="C810" s="60">
        <f>12.1623 * CHOOSE(CONTROL!$C$22, $C$13, 100%, $E$13)</f>
        <v>12.1623</v>
      </c>
      <c r="D810" s="60">
        <f>12.1811 * CHOOSE(CONTROL!$C$22, $C$13, 100%, $E$13)</f>
        <v>12.181100000000001</v>
      </c>
      <c r="E810" s="61">
        <f>14.4189 * CHOOSE(CONTROL!$C$22, $C$13, 100%, $E$13)</f>
        <v>14.418900000000001</v>
      </c>
      <c r="F810" s="61">
        <f>14.4189 * CHOOSE(CONTROL!$C$22, $C$13, 100%, $E$13)</f>
        <v>14.418900000000001</v>
      </c>
      <c r="G810" s="61">
        <f>14.4191 * CHOOSE(CONTROL!$C$22, $C$13, 100%, $E$13)</f>
        <v>14.4191</v>
      </c>
      <c r="H810" s="61">
        <f>24.3567* CHOOSE(CONTROL!$C$22, $C$13, 100%, $E$13)</f>
        <v>24.3567</v>
      </c>
      <c r="I810" s="61">
        <f>24.3569 * CHOOSE(CONTROL!$C$22, $C$13, 100%, $E$13)</f>
        <v>24.3569</v>
      </c>
      <c r="J810" s="61">
        <f>14.0112 * CHOOSE(CONTROL!$C$22, $C$13, 100%, $E$13)</f>
        <v>14.011200000000001</v>
      </c>
      <c r="K810" s="61">
        <f>14.4191 * CHOOSE(CONTROL!$C$22, $C$13, 100%, $E$13)</f>
        <v>14.4191</v>
      </c>
    </row>
    <row r="811" spans="1:11" ht="15">
      <c r="A811" s="13">
        <v>66536</v>
      </c>
      <c r="B811" s="60">
        <f>12.1593 * CHOOSE(CONTROL!$C$22, $C$13, 100%, $E$13)</f>
        <v>12.1593</v>
      </c>
      <c r="C811" s="60">
        <f>12.1593 * CHOOSE(CONTROL!$C$22, $C$13, 100%, $E$13)</f>
        <v>12.1593</v>
      </c>
      <c r="D811" s="60">
        <f>12.1781 * CHOOSE(CONTROL!$C$22, $C$13, 100%, $E$13)</f>
        <v>12.178100000000001</v>
      </c>
      <c r="E811" s="61">
        <f>14.608 * CHOOSE(CONTROL!$C$22, $C$13, 100%, $E$13)</f>
        <v>14.608000000000001</v>
      </c>
      <c r="F811" s="61">
        <f>14.608 * CHOOSE(CONTROL!$C$22, $C$13, 100%, $E$13)</f>
        <v>14.608000000000001</v>
      </c>
      <c r="G811" s="61">
        <f>14.6082 * CHOOSE(CONTROL!$C$22, $C$13, 100%, $E$13)</f>
        <v>14.6082</v>
      </c>
      <c r="H811" s="61">
        <f>24.4074* CHOOSE(CONTROL!$C$22, $C$13, 100%, $E$13)</f>
        <v>24.407399999999999</v>
      </c>
      <c r="I811" s="61">
        <f>24.4076 * CHOOSE(CONTROL!$C$22, $C$13, 100%, $E$13)</f>
        <v>24.407599999999999</v>
      </c>
      <c r="J811" s="61">
        <f>14.1937 * CHOOSE(CONTROL!$C$22, $C$13, 100%, $E$13)</f>
        <v>14.1937</v>
      </c>
      <c r="K811" s="61">
        <f>14.6082 * CHOOSE(CONTROL!$C$22, $C$13, 100%, $E$13)</f>
        <v>14.6082</v>
      </c>
    </row>
    <row r="812" spans="1:11" ht="15">
      <c r="A812" s="13">
        <v>66567</v>
      </c>
      <c r="B812" s="60">
        <f>12.165 * CHOOSE(CONTROL!$C$22, $C$13, 100%, $E$13)</f>
        <v>12.164999999999999</v>
      </c>
      <c r="C812" s="60">
        <f>12.165 * CHOOSE(CONTROL!$C$22, $C$13, 100%, $E$13)</f>
        <v>12.164999999999999</v>
      </c>
      <c r="D812" s="60">
        <f>12.1838 * CHOOSE(CONTROL!$C$22, $C$13, 100%, $E$13)</f>
        <v>12.1838</v>
      </c>
      <c r="E812" s="61">
        <f>14.8092 * CHOOSE(CONTROL!$C$22, $C$13, 100%, $E$13)</f>
        <v>14.809200000000001</v>
      </c>
      <c r="F812" s="61">
        <f>14.8092 * CHOOSE(CONTROL!$C$22, $C$13, 100%, $E$13)</f>
        <v>14.809200000000001</v>
      </c>
      <c r="G812" s="61">
        <f>14.8094 * CHOOSE(CONTROL!$C$22, $C$13, 100%, $E$13)</f>
        <v>14.8094</v>
      </c>
      <c r="H812" s="61">
        <f>24.4583* CHOOSE(CONTROL!$C$22, $C$13, 100%, $E$13)</f>
        <v>24.458300000000001</v>
      </c>
      <c r="I812" s="61">
        <f>24.4585 * CHOOSE(CONTROL!$C$22, $C$13, 100%, $E$13)</f>
        <v>24.458500000000001</v>
      </c>
      <c r="J812" s="61">
        <f>14.3878 * CHOOSE(CONTROL!$C$22, $C$13, 100%, $E$13)</f>
        <v>14.3878</v>
      </c>
      <c r="K812" s="61">
        <f>14.8094 * CHOOSE(CONTROL!$C$22, $C$13, 100%, $E$13)</f>
        <v>14.8094</v>
      </c>
    </row>
    <row r="813" spans="1:11" ht="15">
      <c r="A813" s="13">
        <v>66597</v>
      </c>
      <c r="B813" s="60">
        <f>12.165 * CHOOSE(CONTROL!$C$22, $C$13, 100%, $E$13)</f>
        <v>12.164999999999999</v>
      </c>
      <c r="C813" s="60">
        <f>12.165 * CHOOSE(CONTROL!$C$22, $C$13, 100%, $E$13)</f>
        <v>12.164999999999999</v>
      </c>
      <c r="D813" s="60">
        <f>12.2026 * CHOOSE(CONTROL!$C$22, $C$13, 100%, $E$13)</f>
        <v>12.2026</v>
      </c>
      <c r="E813" s="61">
        <f>14.8863 * CHOOSE(CONTROL!$C$22, $C$13, 100%, $E$13)</f>
        <v>14.8863</v>
      </c>
      <c r="F813" s="61">
        <f>14.8863 * CHOOSE(CONTROL!$C$22, $C$13, 100%, $E$13)</f>
        <v>14.8863</v>
      </c>
      <c r="G813" s="61">
        <f>14.8886 * CHOOSE(CONTROL!$C$22, $C$13, 100%, $E$13)</f>
        <v>14.8886</v>
      </c>
      <c r="H813" s="61">
        <f>24.5092* CHOOSE(CONTROL!$C$22, $C$13, 100%, $E$13)</f>
        <v>24.5092</v>
      </c>
      <c r="I813" s="61">
        <f>24.5115 * CHOOSE(CONTROL!$C$22, $C$13, 100%, $E$13)</f>
        <v>24.511500000000002</v>
      </c>
      <c r="J813" s="61">
        <f>14.4622 * CHOOSE(CONTROL!$C$22, $C$13, 100%, $E$13)</f>
        <v>14.462199999999999</v>
      </c>
      <c r="K813" s="61">
        <f>14.8886 * CHOOSE(CONTROL!$C$22, $C$13, 100%, $E$13)</f>
        <v>14.8886</v>
      </c>
    </row>
    <row r="814" spans="1:11" ht="15">
      <c r="A814" s="13">
        <v>66628</v>
      </c>
      <c r="B814" s="60">
        <f>12.1711 * CHOOSE(CONTROL!$C$22, $C$13, 100%, $E$13)</f>
        <v>12.171099999999999</v>
      </c>
      <c r="C814" s="60">
        <f>12.1711 * CHOOSE(CONTROL!$C$22, $C$13, 100%, $E$13)</f>
        <v>12.171099999999999</v>
      </c>
      <c r="D814" s="60">
        <f>12.2087 * CHOOSE(CONTROL!$C$22, $C$13, 100%, $E$13)</f>
        <v>12.2087</v>
      </c>
      <c r="E814" s="61">
        <f>14.8135 * CHOOSE(CONTROL!$C$22, $C$13, 100%, $E$13)</f>
        <v>14.813499999999999</v>
      </c>
      <c r="F814" s="61">
        <f>14.8135 * CHOOSE(CONTROL!$C$22, $C$13, 100%, $E$13)</f>
        <v>14.813499999999999</v>
      </c>
      <c r="G814" s="61">
        <f>14.8158 * CHOOSE(CONTROL!$C$22, $C$13, 100%, $E$13)</f>
        <v>14.815799999999999</v>
      </c>
      <c r="H814" s="61">
        <f>24.5603* CHOOSE(CONTROL!$C$22, $C$13, 100%, $E$13)</f>
        <v>24.560300000000002</v>
      </c>
      <c r="I814" s="61">
        <f>24.5626 * CHOOSE(CONTROL!$C$22, $C$13, 100%, $E$13)</f>
        <v>24.5626</v>
      </c>
      <c r="J814" s="61">
        <f>14.3921 * CHOOSE(CONTROL!$C$22, $C$13, 100%, $E$13)</f>
        <v>14.392099999999999</v>
      </c>
      <c r="K814" s="61">
        <f>14.8158 * CHOOSE(CONTROL!$C$22, $C$13, 100%, $E$13)</f>
        <v>14.815799999999999</v>
      </c>
    </row>
    <row r="815" spans="1:11" ht="15">
      <c r="A815" s="13">
        <v>66658</v>
      </c>
      <c r="B815" s="60">
        <f>12.3404 * CHOOSE(CONTROL!$C$22, $C$13, 100%, $E$13)</f>
        <v>12.340400000000001</v>
      </c>
      <c r="C815" s="60">
        <f>12.3404 * CHOOSE(CONTROL!$C$22, $C$13, 100%, $E$13)</f>
        <v>12.340400000000001</v>
      </c>
      <c r="D815" s="60">
        <f>12.3781 * CHOOSE(CONTROL!$C$22, $C$13, 100%, $E$13)</f>
        <v>12.3781</v>
      </c>
      <c r="E815" s="61">
        <f>15.0825 * CHOOSE(CONTROL!$C$22, $C$13, 100%, $E$13)</f>
        <v>15.0825</v>
      </c>
      <c r="F815" s="61">
        <f>15.0825 * CHOOSE(CONTROL!$C$22, $C$13, 100%, $E$13)</f>
        <v>15.0825</v>
      </c>
      <c r="G815" s="61">
        <f>15.0848 * CHOOSE(CONTROL!$C$22, $C$13, 100%, $E$13)</f>
        <v>15.0848</v>
      </c>
      <c r="H815" s="61">
        <f>24.6115* CHOOSE(CONTROL!$C$22, $C$13, 100%, $E$13)</f>
        <v>24.611499999999999</v>
      </c>
      <c r="I815" s="61">
        <f>24.6138 * CHOOSE(CONTROL!$C$22, $C$13, 100%, $E$13)</f>
        <v>24.613800000000001</v>
      </c>
      <c r="J815" s="61">
        <f>14.6539 * CHOOSE(CONTROL!$C$22, $C$13, 100%, $E$13)</f>
        <v>14.6539</v>
      </c>
      <c r="K815" s="61">
        <f>15.0848 * CHOOSE(CONTROL!$C$22, $C$13, 100%, $E$13)</f>
        <v>15.0848</v>
      </c>
    </row>
    <row r="816" spans="1:11" ht="15">
      <c r="A816" s="13">
        <v>66689</v>
      </c>
      <c r="B816" s="60">
        <f>12.3471 * CHOOSE(CONTROL!$C$22, $C$13, 100%, $E$13)</f>
        <v>12.347099999999999</v>
      </c>
      <c r="C816" s="60">
        <f>12.3471 * CHOOSE(CONTROL!$C$22, $C$13, 100%, $E$13)</f>
        <v>12.347099999999999</v>
      </c>
      <c r="D816" s="60">
        <f>12.3847 * CHOOSE(CONTROL!$C$22, $C$13, 100%, $E$13)</f>
        <v>12.3847</v>
      </c>
      <c r="E816" s="61">
        <f>14.856 * CHOOSE(CONTROL!$C$22, $C$13, 100%, $E$13)</f>
        <v>14.856</v>
      </c>
      <c r="F816" s="61">
        <f>14.856 * CHOOSE(CONTROL!$C$22, $C$13, 100%, $E$13)</f>
        <v>14.856</v>
      </c>
      <c r="G816" s="61">
        <f>14.8584 * CHOOSE(CONTROL!$C$22, $C$13, 100%, $E$13)</f>
        <v>14.8584</v>
      </c>
      <c r="H816" s="61">
        <f>24.6627* CHOOSE(CONTROL!$C$22, $C$13, 100%, $E$13)</f>
        <v>24.662700000000001</v>
      </c>
      <c r="I816" s="61">
        <f>24.665 * CHOOSE(CONTROL!$C$22, $C$13, 100%, $E$13)</f>
        <v>24.664999999999999</v>
      </c>
      <c r="J816" s="61">
        <f>14.4354 * CHOOSE(CONTROL!$C$22, $C$13, 100%, $E$13)</f>
        <v>14.4354</v>
      </c>
      <c r="K816" s="61">
        <f>14.8584 * CHOOSE(CONTROL!$C$22, $C$13, 100%, $E$13)</f>
        <v>14.8584</v>
      </c>
    </row>
    <row r="817" spans="1:11" ht="15">
      <c r="A817" s="13">
        <v>66720</v>
      </c>
      <c r="B817" s="60">
        <f>12.3441 * CHOOSE(CONTROL!$C$22, $C$13, 100%, $E$13)</f>
        <v>12.344099999999999</v>
      </c>
      <c r="C817" s="60">
        <f>12.3441 * CHOOSE(CONTROL!$C$22, $C$13, 100%, $E$13)</f>
        <v>12.344099999999999</v>
      </c>
      <c r="D817" s="60">
        <f>12.3817 * CHOOSE(CONTROL!$C$22, $C$13, 100%, $E$13)</f>
        <v>12.3817</v>
      </c>
      <c r="E817" s="61">
        <f>14.8283 * CHOOSE(CONTROL!$C$22, $C$13, 100%, $E$13)</f>
        <v>14.8283</v>
      </c>
      <c r="F817" s="61">
        <f>14.8283 * CHOOSE(CONTROL!$C$22, $C$13, 100%, $E$13)</f>
        <v>14.8283</v>
      </c>
      <c r="G817" s="61">
        <f>14.8306 * CHOOSE(CONTROL!$C$22, $C$13, 100%, $E$13)</f>
        <v>14.8306</v>
      </c>
      <c r="H817" s="61">
        <f>24.7141* CHOOSE(CONTROL!$C$22, $C$13, 100%, $E$13)</f>
        <v>24.714099999999998</v>
      </c>
      <c r="I817" s="61">
        <f>24.7164 * CHOOSE(CONTROL!$C$22, $C$13, 100%, $E$13)</f>
        <v>24.7164</v>
      </c>
      <c r="J817" s="61">
        <f>14.4085 * CHOOSE(CONTROL!$C$22, $C$13, 100%, $E$13)</f>
        <v>14.4085</v>
      </c>
      <c r="K817" s="61">
        <f>14.8306 * CHOOSE(CONTROL!$C$22, $C$13, 100%, $E$13)</f>
        <v>14.8306</v>
      </c>
    </row>
    <row r="818" spans="1:11" ht="15">
      <c r="A818" s="13">
        <v>66750</v>
      </c>
      <c r="B818" s="60">
        <f>12.3709 * CHOOSE(CONTROL!$C$22, $C$13, 100%, $E$13)</f>
        <v>12.370900000000001</v>
      </c>
      <c r="C818" s="60">
        <f>12.3709 * CHOOSE(CONTROL!$C$22, $C$13, 100%, $E$13)</f>
        <v>12.370900000000001</v>
      </c>
      <c r="D818" s="60">
        <f>12.3897 * CHOOSE(CONTROL!$C$22, $C$13, 100%, $E$13)</f>
        <v>12.389699999999999</v>
      </c>
      <c r="E818" s="61">
        <f>14.9175 * CHOOSE(CONTROL!$C$22, $C$13, 100%, $E$13)</f>
        <v>14.9175</v>
      </c>
      <c r="F818" s="61">
        <f>14.9175 * CHOOSE(CONTROL!$C$22, $C$13, 100%, $E$13)</f>
        <v>14.9175</v>
      </c>
      <c r="G818" s="61">
        <f>14.9177 * CHOOSE(CONTROL!$C$22, $C$13, 100%, $E$13)</f>
        <v>14.9177</v>
      </c>
      <c r="H818" s="61">
        <f>24.7656* CHOOSE(CONTROL!$C$22, $C$13, 100%, $E$13)</f>
        <v>24.765599999999999</v>
      </c>
      <c r="I818" s="61">
        <f>24.7658 * CHOOSE(CONTROL!$C$22, $C$13, 100%, $E$13)</f>
        <v>24.765799999999999</v>
      </c>
      <c r="J818" s="61">
        <f>14.4942 * CHOOSE(CONTROL!$C$22, $C$13, 100%, $E$13)</f>
        <v>14.494199999999999</v>
      </c>
      <c r="K818" s="61">
        <f>14.9177 * CHOOSE(CONTROL!$C$22, $C$13, 100%, $E$13)</f>
        <v>14.9177</v>
      </c>
    </row>
    <row r="819" spans="1:11" ht="15">
      <c r="A819" s="13">
        <v>66781</v>
      </c>
      <c r="B819" s="60">
        <f>12.3739 * CHOOSE(CONTROL!$C$22, $C$13, 100%, $E$13)</f>
        <v>12.373900000000001</v>
      </c>
      <c r="C819" s="60">
        <f>12.3739 * CHOOSE(CONTROL!$C$22, $C$13, 100%, $E$13)</f>
        <v>12.373900000000001</v>
      </c>
      <c r="D819" s="60">
        <f>12.3927 * CHOOSE(CONTROL!$C$22, $C$13, 100%, $E$13)</f>
        <v>12.3927</v>
      </c>
      <c r="E819" s="61">
        <f>14.971 * CHOOSE(CONTROL!$C$22, $C$13, 100%, $E$13)</f>
        <v>14.971</v>
      </c>
      <c r="F819" s="61">
        <f>14.971 * CHOOSE(CONTROL!$C$22, $C$13, 100%, $E$13)</f>
        <v>14.971</v>
      </c>
      <c r="G819" s="61">
        <f>14.9712 * CHOOSE(CONTROL!$C$22, $C$13, 100%, $E$13)</f>
        <v>14.9712</v>
      </c>
      <c r="H819" s="61">
        <f>24.8172* CHOOSE(CONTROL!$C$22, $C$13, 100%, $E$13)</f>
        <v>24.8172</v>
      </c>
      <c r="I819" s="61">
        <f>24.8174 * CHOOSE(CONTROL!$C$22, $C$13, 100%, $E$13)</f>
        <v>24.817399999999999</v>
      </c>
      <c r="J819" s="61">
        <f>14.5459 * CHOOSE(CONTROL!$C$22, $C$13, 100%, $E$13)</f>
        <v>14.5459</v>
      </c>
      <c r="K819" s="61">
        <f>14.9712 * CHOOSE(CONTROL!$C$22, $C$13, 100%, $E$13)</f>
        <v>14.9712</v>
      </c>
    </row>
    <row r="820" spans="1:11" ht="15">
      <c r="A820" s="13">
        <v>66811</v>
      </c>
      <c r="B820" s="60">
        <f>12.3739 * CHOOSE(CONTROL!$C$22, $C$13, 100%, $E$13)</f>
        <v>12.373900000000001</v>
      </c>
      <c r="C820" s="60">
        <f>12.3739 * CHOOSE(CONTROL!$C$22, $C$13, 100%, $E$13)</f>
        <v>12.373900000000001</v>
      </c>
      <c r="D820" s="60">
        <f>12.3927 * CHOOSE(CONTROL!$C$22, $C$13, 100%, $E$13)</f>
        <v>12.3927</v>
      </c>
      <c r="E820" s="61">
        <f>14.8426 * CHOOSE(CONTROL!$C$22, $C$13, 100%, $E$13)</f>
        <v>14.842599999999999</v>
      </c>
      <c r="F820" s="61">
        <f>14.8426 * CHOOSE(CONTROL!$C$22, $C$13, 100%, $E$13)</f>
        <v>14.842599999999999</v>
      </c>
      <c r="G820" s="61">
        <f>14.8428 * CHOOSE(CONTROL!$C$22, $C$13, 100%, $E$13)</f>
        <v>14.8428</v>
      </c>
      <c r="H820" s="61">
        <f>24.8689* CHOOSE(CONTROL!$C$22, $C$13, 100%, $E$13)</f>
        <v>24.8689</v>
      </c>
      <c r="I820" s="61">
        <f>24.8691 * CHOOSE(CONTROL!$C$22, $C$13, 100%, $E$13)</f>
        <v>24.8691</v>
      </c>
      <c r="J820" s="61">
        <f>14.422 * CHOOSE(CONTROL!$C$22, $C$13, 100%, $E$13)</f>
        <v>14.422000000000001</v>
      </c>
      <c r="K820" s="61">
        <f>14.8428 * CHOOSE(CONTROL!$C$22, $C$13, 100%, $E$13)</f>
        <v>14.8428</v>
      </c>
    </row>
    <row r="821" spans="1:11" ht="15">
      <c r="A821" s="13">
        <v>66842</v>
      </c>
      <c r="B821" s="60">
        <f>12.3774 * CHOOSE(CONTROL!$C$22, $C$13, 100%, $E$13)</f>
        <v>12.3774</v>
      </c>
      <c r="C821" s="60">
        <f>12.3774 * CHOOSE(CONTROL!$C$22, $C$13, 100%, $E$13)</f>
        <v>12.3774</v>
      </c>
      <c r="D821" s="60">
        <f>12.3962 * CHOOSE(CONTROL!$C$22, $C$13, 100%, $E$13)</f>
        <v>12.3962</v>
      </c>
      <c r="E821" s="61">
        <f>14.9374 * CHOOSE(CONTROL!$C$22, $C$13, 100%, $E$13)</f>
        <v>14.9374</v>
      </c>
      <c r="F821" s="61">
        <f>14.9374 * CHOOSE(CONTROL!$C$22, $C$13, 100%, $E$13)</f>
        <v>14.9374</v>
      </c>
      <c r="G821" s="61">
        <f>14.9376 * CHOOSE(CONTROL!$C$22, $C$13, 100%, $E$13)</f>
        <v>14.9376</v>
      </c>
      <c r="H821" s="61">
        <f>24.7075* CHOOSE(CONTROL!$C$22, $C$13, 100%, $E$13)</f>
        <v>24.7075</v>
      </c>
      <c r="I821" s="61">
        <f>24.7077 * CHOOSE(CONTROL!$C$22, $C$13, 100%, $E$13)</f>
        <v>24.707699999999999</v>
      </c>
      <c r="J821" s="61">
        <f>14.4994 * CHOOSE(CONTROL!$C$22, $C$13, 100%, $E$13)</f>
        <v>14.4994</v>
      </c>
      <c r="K821" s="61">
        <f>14.9376 * CHOOSE(CONTROL!$C$22, $C$13, 100%, $E$13)</f>
        <v>14.9376</v>
      </c>
    </row>
    <row r="822" spans="1:11" ht="15">
      <c r="A822" s="13">
        <v>66873</v>
      </c>
      <c r="B822" s="60">
        <f>12.3743 * CHOOSE(CONTROL!$C$22, $C$13, 100%, $E$13)</f>
        <v>12.3743</v>
      </c>
      <c r="C822" s="60">
        <f>12.3743 * CHOOSE(CONTROL!$C$22, $C$13, 100%, $E$13)</f>
        <v>12.3743</v>
      </c>
      <c r="D822" s="60">
        <f>12.3932 * CHOOSE(CONTROL!$C$22, $C$13, 100%, $E$13)</f>
        <v>12.3932</v>
      </c>
      <c r="E822" s="61">
        <f>14.6877 * CHOOSE(CONTROL!$C$22, $C$13, 100%, $E$13)</f>
        <v>14.6877</v>
      </c>
      <c r="F822" s="61">
        <f>14.6877 * CHOOSE(CONTROL!$C$22, $C$13, 100%, $E$13)</f>
        <v>14.6877</v>
      </c>
      <c r="G822" s="61">
        <f>14.6879 * CHOOSE(CONTROL!$C$22, $C$13, 100%, $E$13)</f>
        <v>14.687900000000001</v>
      </c>
      <c r="H822" s="61">
        <f>24.759* CHOOSE(CONTROL!$C$22, $C$13, 100%, $E$13)</f>
        <v>24.759</v>
      </c>
      <c r="I822" s="61">
        <f>24.7592 * CHOOSE(CONTROL!$C$22, $C$13, 100%, $E$13)</f>
        <v>24.7592</v>
      </c>
      <c r="J822" s="61">
        <f>14.2585 * CHOOSE(CONTROL!$C$22, $C$13, 100%, $E$13)</f>
        <v>14.2585</v>
      </c>
      <c r="K822" s="61">
        <f>14.6879 * CHOOSE(CONTROL!$C$22, $C$13, 100%, $E$13)</f>
        <v>14.687900000000001</v>
      </c>
    </row>
    <row r="823" spans="1:11" ht="15">
      <c r="A823" s="13">
        <v>66901</v>
      </c>
      <c r="B823" s="60">
        <f>12.3713 * CHOOSE(CONTROL!$C$22, $C$13, 100%, $E$13)</f>
        <v>12.3713</v>
      </c>
      <c r="C823" s="60">
        <f>12.3713 * CHOOSE(CONTROL!$C$22, $C$13, 100%, $E$13)</f>
        <v>12.3713</v>
      </c>
      <c r="D823" s="60">
        <f>12.3901 * CHOOSE(CONTROL!$C$22, $C$13, 100%, $E$13)</f>
        <v>12.3901</v>
      </c>
      <c r="E823" s="61">
        <f>14.8808 * CHOOSE(CONTROL!$C$22, $C$13, 100%, $E$13)</f>
        <v>14.880800000000001</v>
      </c>
      <c r="F823" s="61">
        <f>14.8808 * CHOOSE(CONTROL!$C$22, $C$13, 100%, $E$13)</f>
        <v>14.880800000000001</v>
      </c>
      <c r="G823" s="61">
        <f>14.8809 * CHOOSE(CONTROL!$C$22, $C$13, 100%, $E$13)</f>
        <v>14.8809</v>
      </c>
      <c r="H823" s="61">
        <f>24.8106* CHOOSE(CONTROL!$C$22, $C$13, 100%, $E$13)</f>
        <v>24.810600000000001</v>
      </c>
      <c r="I823" s="61">
        <f>24.8107 * CHOOSE(CONTROL!$C$22, $C$13, 100%, $E$13)</f>
        <v>24.810700000000001</v>
      </c>
      <c r="J823" s="61">
        <f>14.4446 * CHOOSE(CONTROL!$C$22, $C$13, 100%, $E$13)</f>
        <v>14.444599999999999</v>
      </c>
      <c r="K823" s="61">
        <f>14.8809 * CHOOSE(CONTROL!$C$22, $C$13, 100%, $E$13)</f>
        <v>14.8809</v>
      </c>
    </row>
    <row r="824" spans="1:11" ht="15">
      <c r="A824" s="13">
        <v>66932</v>
      </c>
      <c r="B824" s="60">
        <f>12.3772 * CHOOSE(CONTROL!$C$22, $C$13, 100%, $E$13)</f>
        <v>12.3772</v>
      </c>
      <c r="C824" s="60">
        <f>12.3772 * CHOOSE(CONTROL!$C$22, $C$13, 100%, $E$13)</f>
        <v>12.3772</v>
      </c>
      <c r="D824" s="60">
        <f>12.396 * CHOOSE(CONTROL!$C$22, $C$13, 100%, $E$13)</f>
        <v>12.396000000000001</v>
      </c>
      <c r="E824" s="61">
        <f>15.0861 * CHOOSE(CONTROL!$C$22, $C$13, 100%, $E$13)</f>
        <v>15.0861</v>
      </c>
      <c r="F824" s="61">
        <f>15.0861 * CHOOSE(CONTROL!$C$22, $C$13, 100%, $E$13)</f>
        <v>15.0861</v>
      </c>
      <c r="G824" s="61">
        <f>15.0863 * CHOOSE(CONTROL!$C$22, $C$13, 100%, $E$13)</f>
        <v>15.0863</v>
      </c>
      <c r="H824" s="61">
        <f>24.8623* CHOOSE(CONTROL!$C$22, $C$13, 100%, $E$13)</f>
        <v>24.862300000000001</v>
      </c>
      <c r="I824" s="61">
        <f>24.8624 * CHOOSE(CONTROL!$C$22, $C$13, 100%, $E$13)</f>
        <v>24.862400000000001</v>
      </c>
      <c r="J824" s="61">
        <f>14.6425 * CHOOSE(CONTROL!$C$22, $C$13, 100%, $E$13)</f>
        <v>14.6425</v>
      </c>
      <c r="K824" s="61">
        <f>15.0863 * CHOOSE(CONTROL!$C$22, $C$13, 100%, $E$13)</f>
        <v>15.0863</v>
      </c>
    </row>
    <row r="825" spans="1:11" ht="15">
      <c r="A825" s="13">
        <v>66962</v>
      </c>
      <c r="B825" s="60">
        <f>12.3772 * CHOOSE(CONTROL!$C$22, $C$13, 100%, $E$13)</f>
        <v>12.3772</v>
      </c>
      <c r="C825" s="60">
        <f>12.3772 * CHOOSE(CONTROL!$C$22, $C$13, 100%, $E$13)</f>
        <v>12.3772</v>
      </c>
      <c r="D825" s="60">
        <f>12.4148 * CHOOSE(CONTROL!$C$22, $C$13, 100%, $E$13)</f>
        <v>12.4148</v>
      </c>
      <c r="E825" s="61">
        <f>15.1647 * CHOOSE(CONTROL!$C$22, $C$13, 100%, $E$13)</f>
        <v>15.1647</v>
      </c>
      <c r="F825" s="61">
        <f>15.1647 * CHOOSE(CONTROL!$C$22, $C$13, 100%, $E$13)</f>
        <v>15.1647</v>
      </c>
      <c r="G825" s="61">
        <f>15.167 * CHOOSE(CONTROL!$C$22, $C$13, 100%, $E$13)</f>
        <v>15.167</v>
      </c>
      <c r="H825" s="61">
        <f>24.914* CHOOSE(CONTROL!$C$22, $C$13, 100%, $E$13)</f>
        <v>24.914000000000001</v>
      </c>
      <c r="I825" s="61">
        <f>24.9164 * CHOOSE(CONTROL!$C$22, $C$13, 100%, $E$13)</f>
        <v>24.916399999999999</v>
      </c>
      <c r="J825" s="61">
        <f>14.7183 * CHOOSE(CONTROL!$C$22, $C$13, 100%, $E$13)</f>
        <v>14.718299999999999</v>
      </c>
      <c r="K825" s="61">
        <f>15.167 * CHOOSE(CONTROL!$C$22, $C$13, 100%, $E$13)</f>
        <v>15.167</v>
      </c>
    </row>
    <row r="826" spans="1:11" ht="15">
      <c r="A826" s="13">
        <v>66993</v>
      </c>
      <c r="B826" s="60">
        <f>12.3833 * CHOOSE(CONTROL!$C$22, $C$13, 100%, $E$13)</f>
        <v>12.3833</v>
      </c>
      <c r="C826" s="60">
        <f>12.3833 * CHOOSE(CONTROL!$C$22, $C$13, 100%, $E$13)</f>
        <v>12.3833</v>
      </c>
      <c r="D826" s="60">
        <f>12.4209 * CHOOSE(CONTROL!$C$22, $C$13, 100%, $E$13)</f>
        <v>12.4209</v>
      </c>
      <c r="E826" s="61">
        <f>15.0903 * CHOOSE(CONTROL!$C$22, $C$13, 100%, $E$13)</f>
        <v>15.090299999999999</v>
      </c>
      <c r="F826" s="61">
        <f>15.0903 * CHOOSE(CONTROL!$C$22, $C$13, 100%, $E$13)</f>
        <v>15.090299999999999</v>
      </c>
      <c r="G826" s="61">
        <f>15.0927 * CHOOSE(CONTROL!$C$22, $C$13, 100%, $E$13)</f>
        <v>15.092700000000001</v>
      </c>
      <c r="H826" s="61">
        <f>24.966* CHOOSE(CONTROL!$C$22, $C$13, 100%, $E$13)</f>
        <v>24.966000000000001</v>
      </c>
      <c r="I826" s="61">
        <f>24.9683 * CHOOSE(CONTROL!$C$22, $C$13, 100%, $E$13)</f>
        <v>24.968299999999999</v>
      </c>
      <c r="J826" s="61">
        <f>14.6467 * CHOOSE(CONTROL!$C$22, $C$13, 100%, $E$13)</f>
        <v>14.646699999999999</v>
      </c>
      <c r="K826" s="61">
        <f>15.0927 * CHOOSE(CONTROL!$C$22, $C$13, 100%, $E$13)</f>
        <v>15.092700000000001</v>
      </c>
    </row>
    <row r="827" spans="1:11" ht="15">
      <c r="A827" s="13">
        <v>67023</v>
      </c>
      <c r="B827" s="60">
        <f>12.5553 * CHOOSE(CONTROL!$C$22, $C$13, 100%, $E$13)</f>
        <v>12.555300000000001</v>
      </c>
      <c r="C827" s="60">
        <f>12.5553 * CHOOSE(CONTROL!$C$22, $C$13, 100%, $E$13)</f>
        <v>12.555300000000001</v>
      </c>
      <c r="D827" s="60">
        <f>12.593 * CHOOSE(CONTROL!$C$22, $C$13, 100%, $E$13)</f>
        <v>12.593</v>
      </c>
      <c r="E827" s="61">
        <f>15.3642 * CHOOSE(CONTROL!$C$22, $C$13, 100%, $E$13)</f>
        <v>15.3642</v>
      </c>
      <c r="F827" s="61">
        <f>15.3642 * CHOOSE(CONTROL!$C$22, $C$13, 100%, $E$13)</f>
        <v>15.3642</v>
      </c>
      <c r="G827" s="61">
        <f>15.3665 * CHOOSE(CONTROL!$C$22, $C$13, 100%, $E$13)</f>
        <v>15.3665</v>
      </c>
      <c r="H827" s="61">
        <f>25.018* CHOOSE(CONTROL!$C$22, $C$13, 100%, $E$13)</f>
        <v>25.018000000000001</v>
      </c>
      <c r="I827" s="61">
        <f>25.0203 * CHOOSE(CONTROL!$C$22, $C$13, 100%, $E$13)</f>
        <v>25.020299999999999</v>
      </c>
      <c r="J827" s="61">
        <f>14.913 * CHOOSE(CONTROL!$C$22, $C$13, 100%, $E$13)</f>
        <v>14.913</v>
      </c>
      <c r="K827" s="61">
        <f>15.3665 * CHOOSE(CONTROL!$C$22, $C$13, 100%, $E$13)</f>
        <v>15.3665</v>
      </c>
    </row>
    <row r="828" spans="1:11" ht="15">
      <c r="A828" s="13">
        <v>67054</v>
      </c>
      <c r="B828" s="60">
        <f>12.562 * CHOOSE(CONTROL!$C$22, $C$13, 100%, $E$13)</f>
        <v>12.561999999999999</v>
      </c>
      <c r="C828" s="60">
        <f>12.562 * CHOOSE(CONTROL!$C$22, $C$13, 100%, $E$13)</f>
        <v>12.561999999999999</v>
      </c>
      <c r="D828" s="60">
        <f>12.5997 * CHOOSE(CONTROL!$C$22, $C$13, 100%, $E$13)</f>
        <v>12.5997</v>
      </c>
      <c r="E828" s="61">
        <f>15.1331 * CHOOSE(CONTROL!$C$22, $C$13, 100%, $E$13)</f>
        <v>15.133100000000001</v>
      </c>
      <c r="F828" s="61">
        <f>15.1331 * CHOOSE(CONTROL!$C$22, $C$13, 100%, $E$13)</f>
        <v>15.133100000000001</v>
      </c>
      <c r="G828" s="61">
        <f>15.1354 * CHOOSE(CONTROL!$C$22, $C$13, 100%, $E$13)</f>
        <v>15.135400000000001</v>
      </c>
      <c r="H828" s="61">
        <f>25.0701* CHOOSE(CONTROL!$C$22, $C$13, 100%, $E$13)</f>
        <v>25.0701</v>
      </c>
      <c r="I828" s="61">
        <f>25.0724 * CHOOSE(CONTROL!$C$22, $C$13, 100%, $E$13)</f>
        <v>25.072399999999998</v>
      </c>
      <c r="J828" s="61">
        <f>14.6902 * CHOOSE(CONTROL!$C$22, $C$13, 100%, $E$13)</f>
        <v>14.690200000000001</v>
      </c>
      <c r="K828" s="61">
        <f>15.1354 * CHOOSE(CONTROL!$C$22, $C$13, 100%, $E$13)</f>
        <v>15.135400000000001</v>
      </c>
    </row>
    <row r="829" spans="1:11" ht="15">
      <c r="A829" s="13">
        <v>67085</v>
      </c>
      <c r="B829" s="60">
        <f>12.559 * CHOOSE(CONTROL!$C$22, $C$13, 100%, $E$13)</f>
        <v>12.558999999999999</v>
      </c>
      <c r="C829" s="60">
        <f>12.559 * CHOOSE(CONTROL!$C$22, $C$13, 100%, $E$13)</f>
        <v>12.558999999999999</v>
      </c>
      <c r="D829" s="60">
        <f>12.5966 * CHOOSE(CONTROL!$C$22, $C$13, 100%, $E$13)</f>
        <v>12.5966</v>
      </c>
      <c r="E829" s="61">
        <f>15.1047 * CHOOSE(CONTROL!$C$22, $C$13, 100%, $E$13)</f>
        <v>15.104699999999999</v>
      </c>
      <c r="F829" s="61">
        <f>15.1047 * CHOOSE(CONTROL!$C$22, $C$13, 100%, $E$13)</f>
        <v>15.104699999999999</v>
      </c>
      <c r="G829" s="61">
        <f>15.1071 * CHOOSE(CONTROL!$C$22, $C$13, 100%, $E$13)</f>
        <v>15.107100000000001</v>
      </c>
      <c r="H829" s="61">
        <f>25.1223* CHOOSE(CONTROL!$C$22, $C$13, 100%, $E$13)</f>
        <v>25.122299999999999</v>
      </c>
      <c r="I829" s="61">
        <f>25.1246 * CHOOSE(CONTROL!$C$22, $C$13, 100%, $E$13)</f>
        <v>25.124600000000001</v>
      </c>
      <c r="J829" s="61">
        <f>14.6629 * CHOOSE(CONTROL!$C$22, $C$13, 100%, $E$13)</f>
        <v>14.6629</v>
      </c>
      <c r="K829" s="61">
        <f>15.1071 * CHOOSE(CONTROL!$C$22, $C$13, 100%, $E$13)</f>
        <v>15.107100000000001</v>
      </c>
    </row>
    <row r="830" spans="1:11" ht="15">
      <c r="A830" s="13">
        <v>67115</v>
      </c>
      <c r="B830" s="60">
        <f>12.5866 * CHOOSE(CONTROL!$C$22, $C$13, 100%, $E$13)</f>
        <v>12.586600000000001</v>
      </c>
      <c r="C830" s="60">
        <f>12.5866 * CHOOSE(CONTROL!$C$22, $C$13, 100%, $E$13)</f>
        <v>12.586600000000001</v>
      </c>
      <c r="D830" s="60">
        <f>12.6054 * CHOOSE(CONTROL!$C$22, $C$13, 100%, $E$13)</f>
        <v>12.605399999999999</v>
      </c>
      <c r="E830" s="61">
        <f>15.1961 * CHOOSE(CONTROL!$C$22, $C$13, 100%, $E$13)</f>
        <v>15.196099999999999</v>
      </c>
      <c r="F830" s="61">
        <f>15.1961 * CHOOSE(CONTROL!$C$22, $C$13, 100%, $E$13)</f>
        <v>15.196099999999999</v>
      </c>
      <c r="G830" s="61">
        <f>15.1963 * CHOOSE(CONTROL!$C$22, $C$13, 100%, $E$13)</f>
        <v>15.196300000000001</v>
      </c>
      <c r="H830" s="61">
        <f>25.1747* CHOOSE(CONTROL!$C$22, $C$13, 100%, $E$13)</f>
        <v>25.174700000000001</v>
      </c>
      <c r="I830" s="61">
        <f>25.1748 * CHOOSE(CONTROL!$C$22, $C$13, 100%, $E$13)</f>
        <v>25.174800000000001</v>
      </c>
      <c r="J830" s="61">
        <f>14.7505 * CHOOSE(CONTROL!$C$22, $C$13, 100%, $E$13)</f>
        <v>14.750500000000001</v>
      </c>
      <c r="K830" s="61">
        <f>15.1963 * CHOOSE(CONTROL!$C$22, $C$13, 100%, $E$13)</f>
        <v>15.196300000000001</v>
      </c>
    </row>
    <row r="831" spans="1:11" ht="15">
      <c r="A831" s="13">
        <v>67146</v>
      </c>
      <c r="B831" s="60">
        <f>12.5896 * CHOOSE(CONTROL!$C$22, $C$13, 100%, $E$13)</f>
        <v>12.589600000000001</v>
      </c>
      <c r="C831" s="60">
        <f>12.5896 * CHOOSE(CONTROL!$C$22, $C$13, 100%, $E$13)</f>
        <v>12.589600000000001</v>
      </c>
      <c r="D831" s="60">
        <f>12.6085 * CHOOSE(CONTROL!$C$22, $C$13, 100%, $E$13)</f>
        <v>12.608499999999999</v>
      </c>
      <c r="E831" s="61">
        <f>15.2506 * CHOOSE(CONTROL!$C$22, $C$13, 100%, $E$13)</f>
        <v>15.2506</v>
      </c>
      <c r="F831" s="61">
        <f>15.2506 * CHOOSE(CONTROL!$C$22, $C$13, 100%, $E$13)</f>
        <v>15.2506</v>
      </c>
      <c r="G831" s="61">
        <f>15.2508 * CHOOSE(CONTROL!$C$22, $C$13, 100%, $E$13)</f>
        <v>15.2508</v>
      </c>
      <c r="H831" s="61">
        <f>25.2271* CHOOSE(CONTROL!$C$22, $C$13, 100%, $E$13)</f>
        <v>25.2271</v>
      </c>
      <c r="I831" s="61">
        <f>25.2273 * CHOOSE(CONTROL!$C$22, $C$13, 100%, $E$13)</f>
        <v>25.2273</v>
      </c>
      <c r="J831" s="61">
        <f>14.8032 * CHOOSE(CONTROL!$C$22, $C$13, 100%, $E$13)</f>
        <v>14.8032</v>
      </c>
      <c r="K831" s="61">
        <f>15.2508 * CHOOSE(CONTROL!$C$22, $C$13, 100%, $E$13)</f>
        <v>15.2508</v>
      </c>
    </row>
    <row r="832" spans="1:11" ht="15">
      <c r="A832" s="13">
        <v>67176</v>
      </c>
      <c r="B832" s="60">
        <f>12.5896 * CHOOSE(CONTROL!$C$22, $C$13, 100%, $E$13)</f>
        <v>12.589600000000001</v>
      </c>
      <c r="C832" s="60">
        <f>12.5896 * CHOOSE(CONTROL!$C$22, $C$13, 100%, $E$13)</f>
        <v>12.589600000000001</v>
      </c>
      <c r="D832" s="60">
        <f>12.6085 * CHOOSE(CONTROL!$C$22, $C$13, 100%, $E$13)</f>
        <v>12.608499999999999</v>
      </c>
      <c r="E832" s="61">
        <f>15.1196 * CHOOSE(CONTROL!$C$22, $C$13, 100%, $E$13)</f>
        <v>15.1196</v>
      </c>
      <c r="F832" s="61">
        <f>15.1196 * CHOOSE(CONTROL!$C$22, $C$13, 100%, $E$13)</f>
        <v>15.1196</v>
      </c>
      <c r="G832" s="61">
        <f>15.1198 * CHOOSE(CONTROL!$C$22, $C$13, 100%, $E$13)</f>
        <v>15.1198</v>
      </c>
      <c r="H832" s="61">
        <f>25.2797* CHOOSE(CONTROL!$C$22, $C$13, 100%, $E$13)</f>
        <v>25.279699999999998</v>
      </c>
      <c r="I832" s="61">
        <f>25.2798 * CHOOSE(CONTROL!$C$22, $C$13, 100%, $E$13)</f>
        <v>25.279800000000002</v>
      </c>
      <c r="J832" s="61">
        <f>14.6768 * CHOOSE(CONTROL!$C$22, $C$13, 100%, $E$13)</f>
        <v>14.6768</v>
      </c>
      <c r="K832" s="61">
        <f>15.1198 * CHOOSE(CONTROL!$C$22, $C$13, 100%, $E$13)</f>
        <v>15.1198</v>
      </c>
    </row>
    <row r="833" spans="1:11" ht="15">
      <c r="A833" s="13">
        <v>67207</v>
      </c>
      <c r="B833" s="60">
        <f>12.5894 * CHOOSE(CONTROL!$C$22, $C$13, 100%, $E$13)</f>
        <v>12.589399999999999</v>
      </c>
      <c r="C833" s="60">
        <f>12.5894 * CHOOSE(CONTROL!$C$22, $C$13, 100%, $E$13)</f>
        <v>12.589399999999999</v>
      </c>
      <c r="D833" s="60">
        <f>12.6082 * CHOOSE(CONTROL!$C$22, $C$13, 100%, $E$13)</f>
        <v>12.6082</v>
      </c>
      <c r="E833" s="61">
        <f>15.2112 * CHOOSE(CONTROL!$C$22, $C$13, 100%, $E$13)</f>
        <v>15.2112</v>
      </c>
      <c r="F833" s="61">
        <f>15.2112 * CHOOSE(CONTROL!$C$22, $C$13, 100%, $E$13)</f>
        <v>15.2112</v>
      </c>
      <c r="G833" s="61">
        <f>15.2113 * CHOOSE(CONTROL!$C$22, $C$13, 100%, $E$13)</f>
        <v>15.2113</v>
      </c>
      <c r="H833" s="61">
        <f>25.109* CHOOSE(CONTROL!$C$22, $C$13, 100%, $E$13)</f>
        <v>25.109000000000002</v>
      </c>
      <c r="I833" s="61">
        <f>25.1091 * CHOOSE(CONTROL!$C$22, $C$13, 100%, $E$13)</f>
        <v>25.109100000000002</v>
      </c>
      <c r="J833" s="61">
        <f>14.7512 * CHOOSE(CONTROL!$C$22, $C$13, 100%, $E$13)</f>
        <v>14.751200000000001</v>
      </c>
      <c r="K833" s="61">
        <f>15.2113 * CHOOSE(CONTROL!$C$22, $C$13, 100%, $E$13)</f>
        <v>15.2113</v>
      </c>
    </row>
    <row r="834" spans="1:11" ht="15">
      <c r="A834" s="13">
        <v>67238</v>
      </c>
      <c r="B834" s="60">
        <f>12.5864 * CHOOSE(CONTROL!$C$22, $C$13, 100%, $E$13)</f>
        <v>12.586399999999999</v>
      </c>
      <c r="C834" s="60">
        <f>12.5864 * CHOOSE(CONTROL!$C$22, $C$13, 100%, $E$13)</f>
        <v>12.586399999999999</v>
      </c>
      <c r="D834" s="60">
        <f>12.6052 * CHOOSE(CONTROL!$C$22, $C$13, 100%, $E$13)</f>
        <v>12.6052</v>
      </c>
      <c r="E834" s="61">
        <f>14.9566 * CHOOSE(CONTROL!$C$22, $C$13, 100%, $E$13)</f>
        <v>14.9566</v>
      </c>
      <c r="F834" s="61">
        <f>14.9566 * CHOOSE(CONTROL!$C$22, $C$13, 100%, $E$13)</f>
        <v>14.9566</v>
      </c>
      <c r="G834" s="61">
        <f>14.9568 * CHOOSE(CONTROL!$C$22, $C$13, 100%, $E$13)</f>
        <v>14.956799999999999</v>
      </c>
      <c r="H834" s="61">
        <f>25.1613* CHOOSE(CONTROL!$C$22, $C$13, 100%, $E$13)</f>
        <v>25.161300000000001</v>
      </c>
      <c r="I834" s="61">
        <f>25.1615 * CHOOSE(CONTROL!$C$22, $C$13, 100%, $E$13)</f>
        <v>25.1615</v>
      </c>
      <c r="J834" s="61">
        <f>14.5059 * CHOOSE(CONTROL!$C$22, $C$13, 100%, $E$13)</f>
        <v>14.5059</v>
      </c>
      <c r="K834" s="61">
        <f>14.9568 * CHOOSE(CONTROL!$C$22, $C$13, 100%, $E$13)</f>
        <v>14.956799999999999</v>
      </c>
    </row>
    <row r="835" spans="1:11" ht="15">
      <c r="A835" s="13">
        <v>67267</v>
      </c>
      <c r="B835" s="60">
        <f>12.5833 * CHOOSE(CONTROL!$C$22, $C$13, 100%, $E$13)</f>
        <v>12.583299999999999</v>
      </c>
      <c r="C835" s="60">
        <f>12.5833 * CHOOSE(CONTROL!$C$22, $C$13, 100%, $E$13)</f>
        <v>12.583299999999999</v>
      </c>
      <c r="D835" s="60">
        <f>12.6021 * CHOOSE(CONTROL!$C$22, $C$13, 100%, $E$13)</f>
        <v>12.6021</v>
      </c>
      <c r="E835" s="61">
        <f>15.1535 * CHOOSE(CONTROL!$C$22, $C$13, 100%, $E$13)</f>
        <v>15.153499999999999</v>
      </c>
      <c r="F835" s="61">
        <f>15.1535 * CHOOSE(CONTROL!$C$22, $C$13, 100%, $E$13)</f>
        <v>15.153499999999999</v>
      </c>
      <c r="G835" s="61">
        <f>15.1537 * CHOOSE(CONTROL!$C$22, $C$13, 100%, $E$13)</f>
        <v>15.153700000000001</v>
      </c>
      <c r="H835" s="61">
        <f>25.2137* CHOOSE(CONTROL!$C$22, $C$13, 100%, $E$13)</f>
        <v>25.213699999999999</v>
      </c>
      <c r="I835" s="61">
        <f>25.2139 * CHOOSE(CONTROL!$C$22, $C$13, 100%, $E$13)</f>
        <v>25.213899999999999</v>
      </c>
      <c r="J835" s="61">
        <f>14.6955 * CHOOSE(CONTROL!$C$22, $C$13, 100%, $E$13)</f>
        <v>14.695499999999999</v>
      </c>
      <c r="K835" s="61">
        <f>15.1537 * CHOOSE(CONTROL!$C$22, $C$13, 100%, $E$13)</f>
        <v>15.153700000000001</v>
      </c>
    </row>
    <row r="836" spans="1:11" ht="15">
      <c r="A836" s="13">
        <v>67298</v>
      </c>
      <c r="B836" s="60">
        <f>12.5894 * CHOOSE(CONTROL!$C$22, $C$13, 100%, $E$13)</f>
        <v>12.589399999999999</v>
      </c>
      <c r="C836" s="60">
        <f>12.5894 * CHOOSE(CONTROL!$C$22, $C$13, 100%, $E$13)</f>
        <v>12.589399999999999</v>
      </c>
      <c r="D836" s="60">
        <f>12.6083 * CHOOSE(CONTROL!$C$22, $C$13, 100%, $E$13)</f>
        <v>12.6083</v>
      </c>
      <c r="E836" s="61">
        <f>15.363 * CHOOSE(CONTROL!$C$22, $C$13, 100%, $E$13)</f>
        <v>15.363</v>
      </c>
      <c r="F836" s="61">
        <f>15.363 * CHOOSE(CONTROL!$C$22, $C$13, 100%, $E$13)</f>
        <v>15.363</v>
      </c>
      <c r="G836" s="61">
        <f>15.3632 * CHOOSE(CONTROL!$C$22, $C$13, 100%, $E$13)</f>
        <v>15.363200000000001</v>
      </c>
      <c r="H836" s="61">
        <f>25.2662* CHOOSE(CONTROL!$C$22, $C$13, 100%, $E$13)</f>
        <v>25.266200000000001</v>
      </c>
      <c r="I836" s="61">
        <f>25.2664 * CHOOSE(CONTROL!$C$22, $C$13, 100%, $E$13)</f>
        <v>25.266400000000001</v>
      </c>
      <c r="J836" s="61">
        <f>14.8972 * CHOOSE(CONTROL!$C$22, $C$13, 100%, $E$13)</f>
        <v>14.8972</v>
      </c>
      <c r="K836" s="61">
        <f>15.3632 * CHOOSE(CONTROL!$C$22, $C$13, 100%, $E$13)</f>
        <v>15.363200000000001</v>
      </c>
    </row>
    <row r="837" spans="1:11" ht="15">
      <c r="A837" s="13">
        <v>67328</v>
      </c>
      <c r="B837" s="60">
        <f>12.5894 * CHOOSE(CONTROL!$C$22, $C$13, 100%, $E$13)</f>
        <v>12.589399999999999</v>
      </c>
      <c r="C837" s="60">
        <f>12.5894 * CHOOSE(CONTROL!$C$22, $C$13, 100%, $E$13)</f>
        <v>12.589399999999999</v>
      </c>
      <c r="D837" s="60">
        <f>12.6271 * CHOOSE(CONTROL!$C$22, $C$13, 100%, $E$13)</f>
        <v>12.6271</v>
      </c>
      <c r="E837" s="61">
        <f>15.4431 * CHOOSE(CONTROL!$C$22, $C$13, 100%, $E$13)</f>
        <v>15.443099999999999</v>
      </c>
      <c r="F837" s="61">
        <f>15.4431 * CHOOSE(CONTROL!$C$22, $C$13, 100%, $E$13)</f>
        <v>15.443099999999999</v>
      </c>
      <c r="G837" s="61">
        <f>15.4455 * CHOOSE(CONTROL!$C$22, $C$13, 100%, $E$13)</f>
        <v>15.445499999999999</v>
      </c>
      <c r="H837" s="61">
        <f>25.3189* CHOOSE(CONTROL!$C$22, $C$13, 100%, $E$13)</f>
        <v>25.318899999999999</v>
      </c>
      <c r="I837" s="61">
        <f>25.3212 * CHOOSE(CONTROL!$C$22, $C$13, 100%, $E$13)</f>
        <v>25.321200000000001</v>
      </c>
      <c r="J837" s="61">
        <f>14.9744 * CHOOSE(CONTROL!$C$22, $C$13, 100%, $E$13)</f>
        <v>14.974399999999999</v>
      </c>
      <c r="K837" s="61">
        <f>15.4455 * CHOOSE(CONTROL!$C$22, $C$13, 100%, $E$13)</f>
        <v>15.445499999999999</v>
      </c>
    </row>
    <row r="838" spans="1:11" ht="15">
      <c r="A838" s="13">
        <v>67359</v>
      </c>
      <c r="B838" s="60">
        <f>12.5955 * CHOOSE(CONTROL!$C$22, $C$13, 100%, $E$13)</f>
        <v>12.595499999999999</v>
      </c>
      <c r="C838" s="60">
        <f>12.5955 * CHOOSE(CONTROL!$C$22, $C$13, 100%, $E$13)</f>
        <v>12.595499999999999</v>
      </c>
      <c r="D838" s="60">
        <f>12.6331 * CHOOSE(CONTROL!$C$22, $C$13, 100%, $E$13)</f>
        <v>12.633100000000001</v>
      </c>
      <c r="E838" s="61">
        <f>15.3672 * CHOOSE(CONTROL!$C$22, $C$13, 100%, $E$13)</f>
        <v>15.3672</v>
      </c>
      <c r="F838" s="61">
        <f>15.3672 * CHOOSE(CONTROL!$C$22, $C$13, 100%, $E$13)</f>
        <v>15.3672</v>
      </c>
      <c r="G838" s="61">
        <f>15.3695 * CHOOSE(CONTROL!$C$22, $C$13, 100%, $E$13)</f>
        <v>15.3695</v>
      </c>
      <c r="H838" s="61">
        <f>25.3716* CHOOSE(CONTROL!$C$22, $C$13, 100%, $E$13)</f>
        <v>25.371600000000001</v>
      </c>
      <c r="I838" s="61">
        <f>25.3739 * CHOOSE(CONTROL!$C$22, $C$13, 100%, $E$13)</f>
        <v>25.373899999999999</v>
      </c>
      <c r="J838" s="61">
        <f>14.9014 * CHOOSE(CONTROL!$C$22, $C$13, 100%, $E$13)</f>
        <v>14.901400000000001</v>
      </c>
      <c r="K838" s="61">
        <f>15.3695 * CHOOSE(CONTROL!$C$22, $C$13, 100%, $E$13)</f>
        <v>15.3695</v>
      </c>
    </row>
    <row r="839" spans="1:11" ht="15">
      <c r="A839" s="13">
        <v>67389</v>
      </c>
      <c r="B839" s="60">
        <f>12.7703 * CHOOSE(CONTROL!$C$22, $C$13, 100%, $E$13)</f>
        <v>12.770300000000001</v>
      </c>
      <c r="C839" s="60">
        <f>12.7703 * CHOOSE(CONTROL!$C$22, $C$13, 100%, $E$13)</f>
        <v>12.770300000000001</v>
      </c>
      <c r="D839" s="60">
        <f>12.8079 * CHOOSE(CONTROL!$C$22, $C$13, 100%, $E$13)</f>
        <v>12.8079</v>
      </c>
      <c r="E839" s="61">
        <f>15.6459 * CHOOSE(CONTROL!$C$22, $C$13, 100%, $E$13)</f>
        <v>15.645899999999999</v>
      </c>
      <c r="F839" s="61">
        <f>15.6459 * CHOOSE(CONTROL!$C$22, $C$13, 100%, $E$13)</f>
        <v>15.645899999999999</v>
      </c>
      <c r="G839" s="61">
        <f>15.6482 * CHOOSE(CONTROL!$C$22, $C$13, 100%, $E$13)</f>
        <v>15.648199999999999</v>
      </c>
      <c r="H839" s="61">
        <f>25.4245* CHOOSE(CONTROL!$C$22, $C$13, 100%, $E$13)</f>
        <v>25.424499999999998</v>
      </c>
      <c r="I839" s="61">
        <f>25.4268 * CHOOSE(CONTROL!$C$22, $C$13, 100%, $E$13)</f>
        <v>25.4268</v>
      </c>
      <c r="J839" s="61">
        <f>15.1721 * CHOOSE(CONTROL!$C$22, $C$13, 100%, $E$13)</f>
        <v>15.1721</v>
      </c>
      <c r="K839" s="61">
        <f>15.6482 * CHOOSE(CONTROL!$C$22, $C$13, 100%, $E$13)</f>
        <v>15.648199999999999</v>
      </c>
    </row>
    <row r="840" spans="1:11" ht="15">
      <c r="A840" s="13">
        <v>67420</v>
      </c>
      <c r="B840" s="60">
        <f>12.777 * CHOOSE(CONTROL!$C$22, $C$13, 100%, $E$13)</f>
        <v>12.776999999999999</v>
      </c>
      <c r="C840" s="60">
        <f>12.777 * CHOOSE(CONTROL!$C$22, $C$13, 100%, $E$13)</f>
        <v>12.776999999999999</v>
      </c>
      <c r="D840" s="60">
        <f>12.8146 * CHOOSE(CONTROL!$C$22, $C$13, 100%, $E$13)</f>
        <v>12.8146</v>
      </c>
      <c r="E840" s="61">
        <f>15.4101 * CHOOSE(CONTROL!$C$22, $C$13, 100%, $E$13)</f>
        <v>15.4101</v>
      </c>
      <c r="F840" s="61">
        <f>15.4101 * CHOOSE(CONTROL!$C$22, $C$13, 100%, $E$13)</f>
        <v>15.4101</v>
      </c>
      <c r="G840" s="61">
        <f>15.4124 * CHOOSE(CONTROL!$C$22, $C$13, 100%, $E$13)</f>
        <v>15.4124</v>
      </c>
      <c r="H840" s="61">
        <f>25.4774* CHOOSE(CONTROL!$C$22, $C$13, 100%, $E$13)</f>
        <v>25.477399999999999</v>
      </c>
      <c r="I840" s="61">
        <f>25.4798 * CHOOSE(CONTROL!$C$22, $C$13, 100%, $E$13)</f>
        <v>25.479800000000001</v>
      </c>
      <c r="J840" s="61">
        <f>14.9451 * CHOOSE(CONTROL!$C$22, $C$13, 100%, $E$13)</f>
        <v>14.9451</v>
      </c>
      <c r="K840" s="61">
        <f>15.4124 * CHOOSE(CONTROL!$C$22, $C$13, 100%, $E$13)</f>
        <v>15.4124</v>
      </c>
    </row>
    <row r="841" spans="1:11" ht="15">
      <c r="A841" s="13">
        <v>67451</v>
      </c>
      <c r="B841" s="60">
        <f>12.7739 * CHOOSE(CONTROL!$C$22, $C$13, 100%, $E$13)</f>
        <v>12.773899999999999</v>
      </c>
      <c r="C841" s="60">
        <f>12.7739 * CHOOSE(CONTROL!$C$22, $C$13, 100%, $E$13)</f>
        <v>12.773899999999999</v>
      </c>
      <c r="D841" s="60">
        <f>12.8115 * CHOOSE(CONTROL!$C$22, $C$13, 100%, $E$13)</f>
        <v>12.811500000000001</v>
      </c>
      <c r="E841" s="61">
        <f>15.3812 * CHOOSE(CONTROL!$C$22, $C$13, 100%, $E$13)</f>
        <v>15.3812</v>
      </c>
      <c r="F841" s="61">
        <f>15.3812 * CHOOSE(CONTROL!$C$22, $C$13, 100%, $E$13)</f>
        <v>15.3812</v>
      </c>
      <c r="G841" s="61">
        <f>15.3835 * CHOOSE(CONTROL!$C$22, $C$13, 100%, $E$13)</f>
        <v>15.3835</v>
      </c>
      <c r="H841" s="61">
        <f>25.5305* CHOOSE(CONTROL!$C$22, $C$13, 100%, $E$13)</f>
        <v>25.5305</v>
      </c>
      <c r="I841" s="61">
        <f>25.5328 * CHOOSE(CONTROL!$C$22, $C$13, 100%, $E$13)</f>
        <v>25.532800000000002</v>
      </c>
      <c r="J841" s="61">
        <f>14.9172 * CHOOSE(CONTROL!$C$22, $C$13, 100%, $E$13)</f>
        <v>14.917199999999999</v>
      </c>
      <c r="K841" s="61">
        <f>15.3835 * CHOOSE(CONTROL!$C$22, $C$13, 100%, $E$13)</f>
        <v>15.3835</v>
      </c>
    </row>
    <row r="842" spans="1:11" ht="15">
      <c r="A842" s="13">
        <v>67481</v>
      </c>
      <c r="B842" s="60">
        <f>12.8023 * CHOOSE(CONTROL!$C$22, $C$13, 100%, $E$13)</f>
        <v>12.802300000000001</v>
      </c>
      <c r="C842" s="60">
        <f>12.8023 * CHOOSE(CONTROL!$C$22, $C$13, 100%, $E$13)</f>
        <v>12.802300000000001</v>
      </c>
      <c r="D842" s="60">
        <f>12.8211 * CHOOSE(CONTROL!$C$22, $C$13, 100%, $E$13)</f>
        <v>12.821099999999999</v>
      </c>
      <c r="E842" s="61">
        <f>15.4747 * CHOOSE(CONTROL!$C$22, $C$13, 100%, $E$13)</f>
        <v>15.4747</v>
      </c>
      <c r="F842" s="61">
        <f>15.4747 * CHOOSE(CONTROL!$C$22, $C$13, 100%, $E$13)</f>
        <v>15.4747</v>
      </c>
      <c r="G842" s="61">
        <f>15.4749 * CHOOSE(CONTROL!$C$22, $C$13, 100%, $E$13)</f>
        <v>15.4749</v>
      </c>
      <c r="H842" s="61">
        <f>25.5837* CHOOSE(CONTROL!$C$22, $C$13, 100%, $E$13)</f>
        <v>25.5837</v>
      </c>
      <c r="I842" s="61">
        <f>25.5839 * CHOOSE(CONTROL!$C$22, $C$13, 100%, $E$13)</f>
        <v>25.5839</v>
      </c>
      <c r="J842" s="61">
        <f>15.0068 * CHOOSE(CONTROL!$C$22, $C$13, 100%, $E$13)</f>
        <v>15.0068</v>
      </c>
      <c r="K842" s="61">
        <f>15.4749 * CHOOSE(CONTROL!$C$22, $C$13, 100%, $E$13)</f>
        <v>15.4749</v>
      </c>
    </row>
    <row r="843" spans="1:11" ht="15">
      <c r="A843" s="13">
        <v>67512</v>
      </c>
      <c r="B843" s="60">
        <f>12.8054 * CHOOSE(CONTROL!$C$22, $C$13, 100%, $E$13)</f>
        <v>12.805400000000001</v>
      </c>
      <c r="C843" s="60">
        <f>12.8054 * CHOOSE(CONTROL!$C$22, $C$13, 100%, $E$13)</f>
        <v>12.805400000000001</v>
      </c>
      <c r="D843" s="60">
        <f>12.8242 * CHOOSE(CONTROL!$C$22, $C$13, 100%, $E$13)</f>
        <v>12.824199999999999</v>
      </c>
      <c r="E843" s="61">
        <f>15.5302 * CHOOSE(CONTROL!$C$22, $C$13, 100%, $E$13)</f>
        <v>15.530200000000001</v>
      </c>
      <c r="F843" s="61">
        <f>15.5302 * CHOOSE(CONTROL!$C$22, $C$13, 100%, $E$13)</f>
        <v>15.530200000000001</v>
      </c>
      <c r="G843" s="61">
        <f>15.5304 * CHOOSE(CONTROL!$C$22, $C$13, 100%, $E$13)</f>
        <v>15.5304</v>
      </c>
      <c r="H843" s="61">
        <f>25.637* CHOOSE(CONTROL!$C$22, $C$13, 100%, $E$13)</f>
        <v>25.637</v>
      </c>
      <c r="I843" s="61">
        <f>25.6372 * CHOOSE(CONTROL!$C$22, $C$13, 100%, $E$13)</f>
        <v>25.6372</v>
      </c>
      <c r="J843" s="61">
        <f>15.0604 * CHOOSE(CONTROL!$C$22, $C$13, 100%, $E$13)</f>
        <v>15.0604</v>
      </c>
      <c r="K843" s="61">
        <f>15.5304 * CHOOSE(CONTROL!$C$22, $C$13, 100%, $E$13)</f>
        <v>15.5304</v>
      </c>
    </row>
    <row r="844" spans="1:11" ht="15">
      <c r="A844" s="13">
        <v>67542</v>
      </c>
      <c r="B844" s="60">
        <f>12.8054 * CHOOSE(CONTROL!$C$22, $C$13, 100%, $E$13)</f>
        <v>12.805400000000001</v>
      </c>
      <c r="C844" s="60">
        <f>12.8054 * CHOOSE(CONTROL!$C$22, $C$13, 100%, $E$13)</f>
        <v>12.805400000000001</v>
      </c>
      <c r="D844" s="60">
        <f>12.8242 * CHOOSE(CONTROL!$C$22, $C$13, 100%, $E$13)</f>
        <v>12.824199999999999</v>
      </c>
      <c r="E844" s="61">
        <f>15.3966 * CHOOSE(CONTROL!$C$22, $C$13, 100%, $E$13)</f>
        <v>15.396599999999999</v>
      </c>
      <c r="F844" s="61">
        <f>15.3966 * CHOOSE(CONTROL!$C$22, $C$13, 100%, $E$13)</f>
        <v>15.396599999999999</v>
      </c>
      <c r="G844" s="61">
        <f>15.3968 * CHOOSE(CONTROL!$C$22, $C$13, 100%, $E$13)</f>
        <v>15.396800000000001</v>
      </c>
      <c r="H844" s="61">
        <f>25.6904* CHOOSE(CONTROL!$C$22, $C$13, 100%, $E$13)</f>
        <v>25.6904</v>
      </c>
      <c r="I844" s="61">
        <f>25.6906 * CHOOSE(CONTROL!$C$22, $C$13, 100%, $E$13)</f>
        <v>25.6906</v>
      </c>
      <c r="J844" s="61">
        <f>14.9317 * CHOOSE(CONTROL!$C$22, $C$13, 100%, $E$13)</f>
        <v>14.931699999999999</v>
      </c>
      <c r="K844" s="61">
        <f>15.3968 * CHOOSE(CONTROL!$C$22, $C$13, 100%, $E$13)</f>
        <v>15.396800000000001</v>
      </c>
    </row>
    <row r="845" spans="1:11" ht="15">
      <c r="A845" s="13">
        <v>67573</v>
      </c>
      <c r="B845" s="60">
        <f>12.8014 * CHOOSE(CONTROL!$C$22, $C$13, 100%, $E$13)</f>
        <v>12.801399999999999</v>
      </c>
      <c r="C845" s="60">
        <f>12.8014 * CHOOSE(CONTROL!$C$22, $C$13, 100%, $E$13)</f>
        <v>12.801399999999999</v>
      </c>
      <c r="D845" s="60">
        <f>12.8202 * CHOOSE(CONTROL!$C$22, $C$13, 100%, $E$13)</f>
        <v>12.8202</v>
      </c>
      <c r="E845" s="61">
        <f>15.4849 * CHOOSE(CONTROL!$C$22, $C$13, 100%, $E$13)</f>
        <v>15.4849</v>
      </c>
      <c r="F845" s="61">
        <f>15.4849 * CHOOSE(CONTROL!$C$22, $C$13, 100%, $E$13)</f>
        <v>15.4849</v>
      </c>
      <c r="G845" s="61">
        <f>15.4851 * CHOOSE(CONTROL!$C$22, $C$13, 100%, $E$13)</f>
        <v>15.485099999999999</v>
      </c>
      <c r="H845" s="61">
        <f>25.5104* CHOOSE(CONTROL!$C$22, $C$13, 100%, $E$13)</f>
        <v>25.510400000000001</v>
      </c>
      <c r="I845" s="61">
        <f>25.5106 * CHOOSE(CONTROL!$C$22, $C$13, 100%, $E$13)</f>
        <v>25.5106</v>
      </c>
      <c r="J845" s="61">
        <f>15.0031 * CHOOSE(CONTROL!$C$22, $C$13, 100%, $E$13)</f>
        <v>15.0031</v>
      </c>
      <c r="K845" s="61">
        <f>15.4851 * CHOOSE(CONTROL!$C$22, $C$13, 100%, $E$13)</f>
        <v>15.485099999999999</v>
      </c>
    </row>
    <row r="846" spans="1:11" ht="15">
      <c r="A846" s="13">
        <v>67604</v>
      </c>
      <c r="B846" s="60">
        <f>12.7984 * CHOOSE(CONTROL!$C$22, $C$13, 100%, $E$13)</f>
        <v>12.798400000000001</v>
      </c>
      <c r="C846" s="60">
        <f>12.7984 * CHOOSE(CONTROL!$C$22, $C$13, 100%, $E$13)</f>
        <v>12.798400000000001</v>
      </c>
      <c r="D846" s="60">
        <f>12.8172 * CHOOSE(CONTROL!$C$22, $C$13, 100%, $E$13)</f>
        <v>12.8172</v>
      </c>
      <c r="E846" s="61">
        <f>15.2254 * CHOOSE(CONTROL!$C$22, $C$13, 100%, $E$13)</f>
        <v>15.2254</v>
      </c>
      <c r="F846" s="61">
        <f>15.2254 * CHOOSE(CONTROL!$C$22, $C$13, 100%, $E$13)</f>
        <v>15.2254</v>
      </c>
      <c r="G846" s="61">
        <f>15.2256 * CHOOSE(CONTROL!$C$22, $C$13, 100%, $E$13)</f>
        <v>15.2256</v>
      </c>
      <c r="H846" s="61">
        <f>25.5636* CHOOSE(CONTROL!$C$22, $C$13, 100%, $E$13)</f>
        <v>25.563600000000001</v>
      </c>
      <c r="I846" s="61">
        <f>25.5638 * CHOOSE(CONTROL!$C$22, $C$13, 100%, $E$13)</f>
        <v>25.563800000000001</v>
      </c>
      <c r="J846" s="61">
        <f>14.7533 * CHOOSE(CONTROL!$C$22, $C$13, 100%, $E$13)</f>
        <v>14.753299999999999</v>
      </c>
      <c r="K846" s="61">
        <f>15.2256 * CHOOSE(CONTROL!$C$22, $C$13, 100%, $E$13)</f>
        <v>15.2256</v>
      </c>
    </row>
    <row r="847" spans="1:11" ht="15">
      <c r="A847" s="13">
        <v>67632</v>
      </c>
      <c r="B847" s="60">
        <f>12.7953 * CHOOSE(CONTROL!$C$22, $C$13, 100%, $E$13)</f>
        <v>12.795299999999999</v>
      </c>
      <c r="C847" s="60">
        <f>12.7953 * CHOOSE(CONTROL!$C$22, $C$13, 100%, $E$13)</f>
        <v>12.795299999999999</v>
      </c>
      <c r="D847" s="60">
        <f>12.8141 * CHOOSE(CONTROL!$C$22, $C$13, 100%, $E$13)</f>
        <v>12.8141</v>
      </c>
      <c r="E847" s="61">
        <f>15.4262 * CHOOSE(CONTROL!$C$22, $C$13, 100%, $E$13)</f>
        <v>15.4262</v>
      </c>
      <c r="F847" s="61">
        <f>15.4262 * CHOOSE(CONTROL!$C$22, $C$13, 100%, $E$13)</f>
        <v>15.4262</v>
      </c>
      <c r="G847" s="61">
        <f>15.4264 * CHOOSE(CONTROL!$C$22, $C$13, 100%, $E$13)</f>
        <v>15.426399999999999</v>
      </c>
      <c r="H847" s="61">
        <f>25.6168* CHOOSE(CONTROL!$C$22, $C$13, 100%, $E$13)</f>
        <v>25.616800000000001</v>
      </c>
      <c r="I847" s="61">
        <f>25.617 * CHOOSE(CONTROL!$C$22, $C$13, 100%, $E$13)</f>
        <v>25.617000000000001</v>
      </c>
      <c r="J847" s="61">
        <f>14.9464 * CHOOSE(CONTROL!$C$22, $C$13, 100%, $E$13)</f>
        <v>14.946400000000001</v>
      </c>
      <c r="K847" s="61">
        <f>15.4264 * CHOOSE(CONTROL!$C$22, $C$13, 100%, $E$13)</f>
        <v>15.426399999999999</v>
      </c>
    </row>
    <row r="848" spans="1:11" ht="15">
      <c r="A848" s="13">
        <v>67663</v>
      </c>
      <c r="B848" s="60">
        <f>12.8017 * CHOOSE(CONTROL!$C$22, $C$13, 100%, $E$13)</f>
        <v>12.8017</v>
      </c>
      <c r="C848" s="60">
        <f>12.8017 * CHOOSE(CONTROL!$C$22, $C$13, 100%, $E$13)</f>
        <v>12.8017</v>
      </c>
      <c r="D848" s="60">
        <f>12.8205 * CHOOSE(CONTROL!$C$22, $C$13, 100%, $E$13)</f>
        <v>12.820499999999999</v>
      </c>
      <c r="E848" s="61">
        <f>15.6399 * CHOOSE(CONTROL!$C$22, $C$13, 100%, $E$13)</f>
        <v>15.639900000000001</v>
      </c>
      <c r="F848" s="61">
        <f>15.6399 * CHOOSE(CONTROL!$C$22, $C$13, 100%, $E$13)</f>
        <v>15.639900000000001</v>
      </c>
      <c r="G848" s="61">
        <f>15.64 * CHOOSE(CONTROL!$C$22, $C$13, 100%, $E$13)</f>
        <v>15.64</v>
      </c>
      <c r="H848" s="61">
        <f>25.6702* CHOOSE(CONTROL!$C$22, $C$13, 100%, $E$13)</f>
        <v>25.670200000000001</v>
      </c>
      <c r="I848" s="61">
        <f>25.6704 * CHOOSE(CONTROL!$C$22, $C$13, 100%, $E$13)</f>
        <v>25.670400000000001</v>
      </c>
      <c r="J848" s="61">
        <f>15.1519 * CHOOSE(CONTROL!$C$22, $C$13, 100%, $E$13)</f>
        <v>15.151899999999999</v>
      </c>
      <c r="K848" s="61">
        <f>15.64 * CHOOSE(CONTROL!$C$22, $C$13, 100%, $E$13)</f>
        <v>15.64</v>
      </c>
    </row>
    <row r="849" spans="1:11" ht="15">
      <c r="A849" s="13">
        <v>67693</v>
      </c>
      <c r="B849" s="60">
        <f>12.8017 * CHOOSE(CONTROL!$C$22, $C$13, 100%, $E$13)</f>
        <v>12.8017</v>
      </c>
      <c r="C849" s="60">
        <f>12.8017 * CHOOSE(CONTROL!$C$22, $C$13, 100%, $E$13)</f>
        <v>12.8017</v>
      </c>
      <c r="D849" s="60">
        <f>12.8393 * CHOOSE(CONTROL!$C$22, $C$13, 100%, $E$13)</f>
        <v>12.8393</v>
      </c>
      <c r="E849" s="61">
        <f>15.7216 * CHOOSE(CONTROL!$C$22, $C$13, 100%, $E$13)</f>
        <v>15.7216</v>
      </c>
      <c r="F849" s="61">
        <f>15.7216 * CHOOSE(CONTROL!$C$22, $C$13, 100%, $E$13)</f>
        <v>15.7216</v>
      </c>
      <c r="G849" s="61">
        <f>15.7239 * CHOOSE(CONTROL!$C$22, $C$13, 100%, $E$13)</f>
        <v>15.7239</v>
      </c>
      <c r="H849" s="61">
        <f>25.7237* CHOOSE(CONTROL!$C$22, $C$13, 100%, $E$13)</f>
        <v>25.723700000000001</v>
      </c>
      <c r="I849" s="61">
        <f>25.726 * CHOOSE(CONTROL!$C$22, $C$13, 100%, $E$13)</f>
        <v>25.725999999999999</v>
      </c>
      <c r="J849" s="61">
        <f>15.2305 * CHOOSE(CONTROL!$C$22, $C$13, 100%, $E$13)</f>
        <v>15.230499999999999</v>
      </c>
      <c r="K849" s="61">
        <f>15.7239 * CHOOSE(CONTROL!$C$22, $C$13, 100%, $E$13)</f>
        <v>15.7239</v>
      </c>
    </row>
    <row r="850" spans="1:11" ht="15">
      <c r="A850" s="13">
        <v>67724</v>
      </c>
      <c r="B850" s="60">
        <f>12.8077 * CHOOSE(CONTROL!$C$22, $C$13, 100%, $E$13)</f>
        <v>12.807700000000001</v>
      </c>
      <c r="C850" s="60">
        <f>12.8077 * CHOOSE(CONTROL!$C$22, $C$13, 100%, $E$13)</f>
        <v>12.807700000000001</v>
      </c>
      <c r="D850" s="60">
        <f>12.8454 * CHOOSE(CONTROL!$C$22, $C$13, 100%, $E$13)</f>
        <v>12.8454</v>
      </c>
      <c r="E850" s="61">
        <f>15.6441 * CHOOSE(CONTROL!$C$22, $C$13, 100%, $E$13)</f>
        <v>15.6441</v>
      </c>
      <c r="F850" s="61">
        <f>15.6441 * CHOOSE(CONTROL!$C$22, $C$13, 100%, $E$13)</f>
        <v>15.6441</v>
      </c>
      <c r="G850" s="61">
        <f>15.6464 * CHOOSE(CONTROL!$C$22, $C$13, 100%, $E$13)</f>
        <v>15.6464</v>
      </c>
      <c r="H850" s="61">
        <f>25.7773* CHOOSE(CONTROL!$C$22, $C$13, 100%, $E$13)</f>
        <v>25.7773</v>
      </c>
      <c r="I850" s="61">
        <f>25.7796 * CHOOSE(CONTROL!$C$22, $C$13, 100%, $E$13)</f>
        <v>25.779599999999999</v>
      </c>
      <c r="J850" s="61">
        <f>15.1561 * CHOOSE(CONTROL!$C$22, $C$13, 100%, $E$13)</f>
        <v>15.1561</v>
      </c>
      <c r="K850" s="61">
        <f>15.6464 * CHOOSE(CONTROL!$C$22, $C$13, 100%, $E$13)</f>
        <v>15.6464</v>
      </c>
    </row>
    <row r="851" spans="1:11" ht="15">
      <c r="A851" s="13">
        <v>67754</v>
      </c>
      <c r="B851" s="60">
        <f>12.9852 * CHOOSE(CONTROL!$C$22, $C$13, 100%, $E$13)</f>
        <v>12.985200000000001</v>
      </c>
      <c r="C851" s="60">
        <f>12.9852 * CHOOSE(CONTROL!$C$22, $C$13, 100%, $E$13)</f>
        <v>12.985200000000001</v>
      </c>
      <c r="D851" s="60">
        <f>13.0228 * CHOOSE(CONTROL!$C$22, $C$13, 100%, $E$13)</f>
        <v>13.0228</v>
      </c>
      <c r="E851" s="61">
        <f>15.9275 * CHOOSE(CONTROL!$C$22, $C$13, 100%, $E$13)</f>
        <v>15.9275</v>
      </c>
      <c r="F851" s="61">
        <f>15.9275 * CHOOSE(CONTROL!$C$22, $C$13, 100%, $E$13)</f>
        <v>15.9275</v>
      </c>
      <c r="G851" s="61">
        <f>15.9298 * CHOOSE(CONTROL!$C$22, $C$13, 100%, $E$13)</f>
        <v>15.9298</v>
      </c>
      <c r="H851" s="61">
        <f>25.831* CHOOSE(CONTROL!$C$22, $C$13, 100%, $E$13)</f>
        <v>25.831</v>
      </c>
      <c r="I851" s="61">
        <f>25.8333 * CHOOSE(CONTROL!$C$22, $C$13, 100%, $E$13)</f>
        <v>25.833300000000001</v>
      </c>
      <c r="J851" s="61">
        <f>15.4312 * CHOOSE(CONTROL!$C$22, $C$13, 100%, $E$13)</f>
        <v>15.4312</v>
      </c>
      <c r="K851" s="61">
        <f>15.9298 * CHOOSE(CONTROL!$C$22, $C$13, 100%, $E$13)</f>
        <v>15.9298</v>
      </c>
    </row>
    <row r="852" spans="1:11" ht="15">
      <c r="A852" s="13">
        <v>67785</v>
      </c>
      <c r="B852" s="60">
        <f>12.9919 * CHOOSE(CONTROL!$C$22, $C$13, 100%, $E$13)</f>
        <v>12.991899999999999</v>
      </c>
      <c r="C852" s="60">
        <f>12.9919 * CHOOSE(CONTROL!$C$22, $C$13, 100%, $E$13)</f>
        <v>12.991899999999999</v>
      </c>
      <c r="D852" s="60">
        <f>13.0295 * CHOOSE(CONTROL!$C$22, $C$13, 100%, $E$13)</f>
        <v>13.029500000000001</v>
      </c>
      <c r="E852" s="61">
        <f>15.6871 * CHOOSE(CONTROL!$C$22, $C$13, 100%, $E$13)</f>
        <v>15.687099999999999</v>
      </c>
      <c r="F852" s="61">
        <f>15.6871 * CHOOSE(CONTROL!$C$22, $C$13, 100%, $E$13)</f>
        <v>15.687099999999999</v>
      </c>
      <c r="G852" s="61">
        <f>15.6894 * CHOOSE(CONTROL!$C$22, $C$13, 100%, $E$13)</f>
        <v>15.689399999999999</v>
      </c>
      <c r="H852" s="61">
        <f>25.8848* CHOOSE(CONTROL!$C$22, $C$13, 100%, $E$13)</f>
        <v>25.884799999999998</v>
      </c>
      <c r="I852" s="61">
        <f>25.8871 * CHOOSE(CONTROL!$C$22, $C$13, 100%, $E$13)</f>
        <v>25.8871</v>
      </c>
      <c r="J852" s="61">
        <f>15.1999 * CHOOSE(CONTROL!$C$22, $C$13, 100%, $E$13)</f>
        <v>15.1999</v>
      </c>
      <c r="K852" s="61">
        <f>15.6894 * CHOOSE(CONTROL!$C$22, $C$13, 100%, $E$13)</f>
        <v>15.689399999999999</v>
      </c>
    </row>
    <row r="853" spans="1:11" ht="15">
      <c r="A853" s="13">
        <v>67816</v>
      </c>
      <c r="B853" s="60">
        <f>12.9888 * CHOOSE(CONTROL!$C$22, $C$13, 100%, $E$13)</f>
        <v>12.988799999999999</v>
      </c>
      <c r="C853" s="60">
        <f>12.9888 * CHOOSE(CONTROL!$C$22, $C$13, 100%, $E$13)</f>
        <v>12.988799999999999</v>
      </c>
      <c r="D853" s="60">
        <f>13.0264 * CHOOSE(CONTROL!$C$22, $C$13, 100%, $E$13)</f>
        <v>13.026400000000001</v>
      </c>
      <c r="E853" s="61">
        <f>15.6577 * CHOOSE(CONTROL!$C$22, $C$13, 100%, $E$13)</f>
        <v>15.6577</v>
      </c>
      <c r="F853" s="61">
        <f>15.6577 * CHOOSE(CONTROL!$C$22, $C$13, 100%, $E$13)</f>
        <v>15.6577</v>
      </c>
      <c r="G853" s="61">
        <f>15.66 * CHOOSE(CONTROL!$C$22, $C$13, 100%, $E$13)</f>
        <v>15.66</v>
      </c>
      <c r="H853" s="61">
        <f>25.9387* CHOOSE(CONTROL!$C$22, $C$13, 100%, $E$13)</f>
        <v>25.938700000000001</v>
      </c>
      <c r="I853" s="61">
        <f>25.941 * CHOOSE(CONTROL!$C$22, $C$13, 100%, $E$13)</f>
        <v>25.940999999999999</v>
      </c>
      <c r="J853" s="61">
        <f>15.1716 * CHOOSE(CONTROL!$C$22, $C$13, 100%, $E$13)</f>
        <v>15.1716</v>
      </c>
      <c r="K853" s="61">
        <f>15.66 * CHOOSE(CONTROL!$C$22, $C$13, 100%, $E$13)</f>
        <v>15.66</v>
      </c>
    </row>
    <row r="854" spans="1:11" ht="15">
      <c r="A854" s="13">
        <v>67846</v>
      </c>
      <c r="B854" s="60">
        <f>13.0181 * CHOOSE(CONTROL!$C$22, $C$13, 100%, $E$13)</f>
        <v>13.0181</v>
      </c>
      <c r="C854" s="60">
        <f>13.0181 * CHOOSE(CONTROL!$C$22, $C$13, 100%, $E$13)</f>
        <v>13.0181</v>
      </c>
      <c r="D854" s="60">
        <f>13.0369 * CHOOSE(CONTROL!$C$22, $C$13, 100%, $E$13)</f>
        <v>13.036899999999999</v>
      </c>
      <c r="E854" s="61">
        <f>15.7532 * CHOOSE(CONTROL!$C$22, $C$13, 100%, $E$13)</f>
        <v>15.7532</v>
      </c>
      <c r="F854" s="61">
        <f>15.7532 * CHOOSE(CONTROL!$C$22, $C$13, 100%, $E$13)</f>
        <v>15.7532</v>
      </c>
      <c r="G854" s="61">
        <f>15.7534 * CHOOSE(CONTROL!$C$22, $C$13, 100%, $E$13)</f>
        <v>15.753399999999999</v>
      </c>
      <c r="H854" s="61">
        <f>25.9928* CHOOSE(CONTROL!$C$22, $C$13, 100%, $E$13)</f>
        <v>25.992799999999999</v>
      </c>
      <c r="I854" s="61">
        <f>25.9929 * CHOOSE(CONTROL!$C$22, $C$13, 100%, $E$13)</f>
        <v>25.992899999999999</v>
      </c>
      <c r="J854" s="61">
        <f>15.263 * CHOOSE(CONTROL!$C$22, $C$13, 100%, $E$13)</f>
        <v>15.263</v>
      </c>
      <c r="K854" s="61">
        <f>15.7534 * CHOOSE(CONTROL!$C$22, $C$13, 100%, $E$13)</f>
        <v>15.753399999999999</v>
      </c>
    </row>
    <row r="855" spans="1:11" ht="15">
      <c r="A855" s="13">
        <v>67877</v>
      </c>
      <c r="B855" s="60">
        <f>13.0211 * CHOOSE(CONTROL!$C$22, $C$13, 100%, $E$13)</f>
        <v>13.021100000000001</v>
      </c>
      <c r="C855" s="60">
        <f>13.0211 * CHOOSE(CONTROL!$C$22, $C$13, 100%, $E$13)</f>
        <v>13.021100000000001</v>
      </c>
      <c r="D855" s="60">
        <f>13.0399 * CHOOSE(CONTROL!$C$22, $C$13, 100%, $E$13)</f>
        <v>13.039899999999999</v>
      </c>
      <c r="E855" s="61">
        <f>15.8098 * CHOOSE(CONTROL!$C$22, $C$13, 100%, $E$13)</f>
        <v>15.809799999999999</v>
      </c>
      <c r="F855" s="61">
        <f>15.8098 * CHOOSE(CONTROL!$C$22, $C$13, 100%, $E$13)</f>
        <v>15.809799999999999</v>
      </c>
      <c r="G855" s="61">
        <f>15.81 * CHOOSE(CONTROL!$C$22, $C$13, 100%, $E$13)</f>
        <v>15.81</v>
      </c>
      <c r="H855" s="61">
        <f>26.0469* CHOOSE(CONTROL!$C$22, $C$13, 100%, $E$13)</f>
        <v>26.046900000000001</v>
      </c>
      <c r="I855" s="61">
        <f>26.0471 * CHOOSE(CONTROL!$C$22, $C$13, 100%, $E$13)</f>
        <v>26.0471</v>
      </c>
      <c r="J855" s="61">
        <f>15.3176 * CHOOSE(CONTROL!$C$22, $C$13, 100%, $E$13)</f>
        <v>15.317600000000001</v>
      </c>
      <c r="K855" s="61">
        <f>15.81 * CHOOSE(CONTROL!$C$22, $C$13, 100%, $E$13)</f>
        <v>15.81</v>
      </c>
    </row>
    <row r="856" spans="1:11" ht="15">
      <c r="A856" s="13">
        <v>67907</v>
      </c>
      <c r="B856" s="60">
        <f>13.0211 * CHOOSE(CONTROL!$C$22, $C$13, 100%, $E$13)</f>
        <v>13.021100000000001</v>
      </c>
      <c r="C856" s="60">
        <f>13.0211 * CHOOSE(CONTROL!$C$22, $C$13, 100%, $E$13)</f>
        <v>13.021100000000001</v>
      </c>
      <c r="D856" s="60">
        <f>13.0399 * CHOOSE(CONTROL!$C$22, $C$13, 100%, $E$13)</f>
        <v>13.039899999999999</v>
      </c>
      <c r="E856" s="61">
        <f>15.6736 * CHOOSE(CONTROL!$C$22, $C$13, 100%, $E$13)</f>
        <v>15.6736</v>
      </c>
      <c r="F856" s="61">
        <f>15.6736 * CHOOSE(CONTROL!$C$22, $C$13, 100%, $E$13)</f>
        <v>15.6736</v>
      </c>
      <c r="G856" s="61">
        <f>15.6738 * CHOOSE(CONTROL!$C$22, $C$13, 100%, $E$13)</f>
        <v>15.6738</v>
      </c>
      <c r="H856" s="61">
        <f>26.1012* CHOOSE(CONTROL!$C$22, $C$13, 100%, $E$13)</f>
        <v>26.101199999999999</v>
      </c>
      <c r="I856" s="61">
        <f>26.1014 * CHOOSE(CONTROL!$C$22, $C$13, 100%, $E$13)</f>
        <v>26.101400000000002</v>
      </c>
      <c r="J856" s="61">
        <f>15.1865 * CHOOSE(CONTROL!$C$22, $C$13, 100%, $E$13)</f>
        <v>15.186500000000001</v>
      </c>
      <c r="K856" s="61">
        <f>15.6738 * CHOOSE(CONTROL!$C$22, $C$13, 100%, $E$13)</f>
        <v>15.6738</v>
      </c>
    </row>
    <row r="857" spans="1:11" ht="15">
      <c r="A857" s="13">
        <v>67938</v>
      </c>
      <c r="B857" s="60">
        <f>13.0134 * CHOOSE(CONTROL!$C$22, $C$13, 100%, $E$13)</f>
        <v>13.013400000000001</v>
      </c>
      <c r="C857" s="60">
        <f>13.0134 * CHOOSE(CONTROL!$C$22, $C$13, 100%, $E$13)</f>
        <v>13.013400000000001</v>
      </c>
      <c r="D857" s="60">
        <f>13.0322 * CHOOSE(CONTROL!$C$22, $C$13, 100%, $E$13)</f>
        <v>13.0322</v>
      </c>
      <c r="E857" s="61">
        <f>15.7587 * CHOOSE(CONTROL!$C$22, $C$13, 100%, $E$13)</f>
        <v>15.758699999999999</v>
      </c>
      <c r="F857" s="61">
        <f>15.7587 * CHOOSE(CONTROL!$C$22, $C$13, 100%, $E$13)</f>
        <v>15.758699999999999</v>
      </c>
      <c r="G857" s="61">
        <f>15.7588 * CHOOSE(CONTROL!$C$22, $C$13, 100%, $E$13)</f>
        <v>15.758800000000001</v>
      </c>
      <c r="H857" s="61">
        <f>25.9119* CHOOSE(CONTROL!$C$22, $C$13, 100%, $E$13)</f>
        <v>25.911899999999999</v>
      </c>
      <c r="I857" s="61">
        <f>25.9121 * CHOOSE(CONTROL!$C$22, $C$13, 100%, $E$13)</f>
        <v>25.912099999999999</v>
      </c>
      <c r="J857" s="61">
        <f>15.2549 * CHOOSE(CONTROL!$C$22, $C$13, 100%, $E$13)</f>
        <v>15.254899999999999</v>
      </c>
      <c r="K857" s="61">
        <f>15.7588 * CHOOSE(CONTROL!$C$22, $C$13, 100%, $E$13)</f>
        <v>15.758800000000001</v>
      </c>
    </row>
    <row r="858" spans="1:11" ht="15">
      <c r="A858" s="13">
        <v>67969</v>
      </c>
      <c r="B858" s="60">
        <f>13.0104 * CHOOSE(CONTROL!$C$22, $C$13, 100%, $E$13)</f>
        <v>13.010400000000001</v>
      </c>
      <c r="C858" s="60">
        <f>13.0104 * CHOOSE(CONTROL!$C$22, $C$13, 100%, $E$13)</f>
        <v>13.010400000000001</v>
      </c>
      <c r="D858" s="60">
        <f>13.0292 * CHOOSE(CONTROL!$C$22, $C$13, 100%, $E$13)</f>
        <v>13.029199999999999</v>
      </c>
      <c r="E858" s="61">
        <f>15.4943 * CHOOSE(CONTROL!$C$22, $C$13, 100%, $E$13)</f>
        <v>15.494300000000001</v>
      </c>
      <c r="F858" s="61">
        <f>15.4943 * CHOOSE(CONTROL!$C$22, $C$13, 100%, $E$13)</f>
        <v>15.494300000000001</v>
      </c>
      <c r="G858" s="61">
        <f>15.4945 * CHOOSE(CONTROL!$C$22, $C$13, 100%, $E$13)</f>
        <v>15.4945</v>
      </c>
      <c r="H858" s="61">
        <f>25.9659* CHOOSE(CONTROL!$C$22, $C$13, 100%, $E$13)</f>
        <v>25.965900000000001</v>
      </c>
      <c r="I858" s="61">
        <f>25.9661 * CHOOSE(CONTROL!$C$22, $C$13, 100%, $E$13)</f>
        <v>25.966100000000001</v>
      </c>
      <c r="J858" s="61">
        <f>15.0006 * CHOOSE(CONTROL!$C$22, $C$13, 100%, $E$13)</f>
        <v>15.0006</v>
      </c>
      <c r="K858" s="61">
        <f>15.4945 * CHOOSE(CONTROL!$C$22, $C$13, 100%, $E$13)</f>
        <v>15.4945</v>
      </c>
    </row>
    <row r="859" spans="1:11" ht="15">
      <c r="A859" s="13">
        <v>67997</v>
      </c>
      <c r="B859" s="60">
        <f>13.0073 * CHOOSE(CONTROL!$C$22, $C$13, 100%, $E$13)</f>
        <v>13.007300000000001</v>
      </c>
      <c r="C859" s="60">
        <f>13.0073 * CHOOSE(CONTROL!$C$22, $C$13, 100%, $E$13)</f>
        <v>13.007300000000001</v>
      </c>
      <c r="D859" s="60">
        <f>13.0262 * CHOOSE(CONTROL!$C$22, $C$13, 100%, $E$13)</f>
        <v>13.026199999999999</v>
      </c>
      <c r="E859" s="61">
        <f>15.6989 * CHOOSE(CONTROL!$C$22, $C$13, 100%, $E$13)</f>
        <v>15.6989</v>
      </c>
      <c r="F859" s="61">
        <f>15.6989 * CHOOSE(CONTROL!$C$22, $C$13, 100%, $E$13)</f>
        <v>15.6989</v>
      </c>
      <c r="G859" s="61">
        <f>15.6991 * CHOOSE(CONTROL!$C$22, $C$13, 100%, $E$13)</f>
        <v>15.6991</v>
      </c>
      <c r="H859" s="61">
        <f>26.02* CHOOSE(CONTROL!$C$22, $C$13, 100%, $E$13)</f>
        <v>26.02</v>
      </c>
      <c r="I859" s="61">
        <f>26.0202 * CHOOSE(CONTROL!$C$22, $C$13, 100%, $E$13)</f>
        <v>26.020199999999999</v>
      </c>
      <c r="J859" s="61">
        <f>15.1973 * CHOOSE(CONTROL!$C$22, $C$13, 100%, $E$13)</f>
        <v>15.1973</v>
      </c>
      <c r="K859" s="61">
        <f>15.6991 * CHOOSE(CONTROL!$C$22, $C$13, 100%, $E$13)</f>
        <v>15.6991</v>
      </c>
    </row>
    <row r="860" spans="1:11" ht="15">
      <c r="A860" s="13">
        <v>68028</v>
      </c>
      <c r="B860" s="60">
        <f>13.0139 * CHOOSE(CONTROL!$C$22, $C$13, 100%, $E$13)</f>
        <v>13.0139</v>
      </c>
      <c r="C860" s="60">
        <f>13.0139 * CHOOSE(CONTROL!$C$22, $C$13, 100%, $E$13)</f>
        <v>13.0139</v>
      </c>
      <c r="D860" s="60">
        <f>13.0327 * CHOOSE(CONTROL!$C$22, $C$13, 100%, $E$13)</f>
        <v>13.0327</v>
      </c>
      <c r="E860" s="61">
        <f>15.9167 * CHOOSE(CONTROL!$C$22, $C$13, 100%, $E$13)</f>
        <v>15.916700000000001</v>
      </c>
      <c r="F860" s="61">
        <f>15.9167 * CHOOSE(CONTROL!$C$22, $C$13, 100%, $E$13)</f>
        <v>15.916700000000001</v>
      </c>
      <c r="G860" s="61">
        <f>15.9169 * CHOOSE(CONTROL!$C$22, $C$13, 100%, $E$13)</f>
        <v>15.9169</v>
      </c>
      <c r="H860" s="61">
        <f>26.0742* CHOOSE(CONTROL!$C$22, $C$13, 100%, $E$13)</f>
        <v>26.074200000000001</v>
      </c>
      <c r="I860" s="61">
        <f>26.0744 * CHOOSE(CONTROL!$C$22, $C$13, 100%, $E$13)</f>
        <v>26.074400000000001</v>
      </c>
      <c r="J860" s="61">
        <f>15.4065 * CHOOSE(CONTROL!$C$22, $C$13, 100%, $E$13)</f>
        <v>15.406499999999999</v>
      </c>
      <c r="K860" s="61">
        <f>15.9169 * CHOOSE(CONTROL!$C$22, $C$13, 100%, $E$13)</f>
        <v>15.9169</v>
      </c>
    </row>
    <row r="861" spans="1:11" ht="15">
      <c r="A861" s="13">
        <v>68058</v>
      </c>
      <c r="B861" s="60">
        <f>13.0139 * CHOOSE(CONTROL!$C$22, $C$13, 100%, $E$13)</f>
        <v>13.0139</v>
      </c>
      <c r="C861" s="60">
        <f>13.0139 * CHOOSE(CONTROL!$C$22, $C$13, 100%, $E$13)</f>
        <v>13.0139</v>
      </c>
      <c r="D861" s="60">
        <f>13.0515 * CHOOSE(CONTROL!$C$22, $C$13, 100%, $E$13)</f>
        <v>13.051500000000001</v>
      </c>
      <c r="E861" s="61">
        <f>16 * CHOOSE(CONTROL!$C$22, $C$13, 100%, $E$13)</f>
        <v>16</v>
      </c>
      <c r="F861" s="61">
        <f>16 * CHOOSE(CONTROL!$C$22, $C$13, 100%, $E$13)</f>
        <v>16</v>
      </c>
      <c r="G861" s="61">
        <f>16.0023 * CHOOSE(CONTROL!$C$22, $C$13, 100%, $E$13)</f>
        <v>16.002300000000002</v>
      </c>
      <c r="H861" s="61">
        <f>26.1285* CHOOSE(CONTROL!$C$22, $C$13, 100%, $E$13)</f>
        <v>26.128499999999999</v>
      </c>
      <c r="I861" s="61">
        <f>26.1308 * CHOOSE(CONTROL!$C$22, $C$13, 100%, $E$13)</f>
        <v>26.130800000000001</v>
      </c>
      <c r="J861" s="61">
        <f>15.4866 * CHOOSE(CONTROL!$C$22, $C$13, 100%, $E$13)</f>
        <v>15.486599999999999</v>
      </c>
      <c r="K861" s="61">
        <f>16.0023 * CHOOSE(CONTROL!$C$22, $C$13, 100%, $E$13)</f>
        <v>16.002300000000002</v>
      </c>
    </row>
    <row r="862" spans="1:11" ht="15">
      <c r="A862" s="13">
        <v>68089</v>
      </c>
      <c r="B862" s="60">
        <f>13.02 * CHOOSE(CONTROL!$C$22, $C$13, 100%, $E$13)</f>
        <v>13.02</v>
      </c>
      <c r="C862" s="60">
        <f>13.02 * CHOOSE(CONTROL!$C$22, $C$13, 100%, $E$13)</f>
        <v>13.02</v>
      </c>
      <c r="D862" s="60">
        <f>13.0576 * CHOOSE(CONTROL!$C$22, $C$13, 100%, $E$13)</f>
        <v>13.057600000000001</v>
      </c>
      <c r="E862" s="61">
        <f>15.921 * CHOOSE(CONTROL!$C$22, $C$13, 100%, $E$13)</f>
        <v>15.920999999999999</v>
      </c>
      <c r="F862" s="61">
        <f>15.921 * CHOOSE(CONTROL!$C$22, $C$13, 100%, $E$13)</f>
        <v>15.920999999999999</v>
      </c>
      <c r="G862" s="61">
        <f>15.9233 * CHOOSE(CONTROL!$C$22, $C$13, 100%, $E$13)</f>
        <v>15.923299999999999</v>
      </c>
      <c r="H862" s="61">
        <f>26.1829* CHOOSE(CONTROL!$C$22, $C$13, 100%, $E$13)</f>
        <v>26.1829</v>
      </c>
      <c r="I862" s="61">
        <f>26.1853 * CHOOSE(CONTROL!$C$22, $C$13, 100%, $E$13)</f>
        <v>26.185300000000002</v>
      </c>
      <c r="J862" s="61">
        <f>15.4108 * CHOOSE(CONTROL!$C$22, $C$13, 100%, $E$13)</f>
        <v>15.4108</v>
      </c>
      <c r="K862" s="61">
        <f>15.9233 * CHOOSE(CONTROL!$C$22, $C$13, 100%, $E$13)</f>
        <v>15.923299999999999</v>
      </c>
    </row>
    <row r="863" spans="1:11" ht="15">
      <c r="A863" s="13">
        <v>68119</v>
      </c>
      <c r="B863" s="60">
        <f>13.2001 * CHOOSE(CONTROL!$C$22, $C$13, 100%, $E$13)</f>
        <v>13.200100000000001</v>
      </c>
      <c r="C863" s="60">
        <f>13.2001 * CHOOSE(CONTROL!$C$22, $C$13, 100%, $E$13)</f>
        <v>13.200100000000001</v>
      </c>
      <c r="D863" s="60">
        <f>13.2377 * CHOOSE(CONTROL!$C$22, $C$13, 100%, $E$13)</f>
        <v>13.2377</v>
      </c>
      <c r="E863" s="61">
        <f>16.2092 * CHOOSE(CONTROL!$C$22, $C$13, 100%, $E$13)</f>
        <v>16.209199999999999</v>
      </c>
      <c r="F863" s="61">
        <f>16.2092 * CHOOSE(CONTROL!$C$22, $C$13, 100%, $E$13)</f>
        <v>16.209199999999999</v>
      </c>
      <c r="G863" s="61">
        <f>16.2115 * CHOOSE(CONTROL!$C$22, $C$13, 100%, $E$13)</f>
        <v>16.211500000000001</v>
      </c>
      <c r="H863" s="61">
        <f>26.2375* CHOOSE(CONTROL!$C$22, $C$13, 100%, $E$13)</f>
        <v>26.237500000000001</v>
      </c>
      <c r="I863" s="61">
        <f>26.2398 * CHOOSE(CONTROL!$C$22, $C$13, 100%, $E$13)</f>
        <v>26.239799999999999</v>
      </c>
      <c r="J863" s="61">
        <f>15.6903 * CHOOSE(CONTROL!$C$22, $C$13, 100%, $E$13)</f>
        <v>15.690300000000001</v>
      </c>
      <c r="K863" s="61">
        <f>16.2115 * CHOOSE(CONTROL!$C$22, $C$13, 100%, $E$13)</f>
        <v>16.211500000000001</v>
      </c>
    </row>
    <row r="864" spans="1:11" ht="15">
      <c r="A864" s="13">
        <v>68150</v>
      </c>
      <c r="B864" s="60">
        <f>13.2068 * CHOOSE(CONTROL!$C$22, $C$13, 100%, $E$13)</f>
        <v>13.206799999999999</v>
      </c>
      <c r="C864" s="60">
        <f>13.2068 * CHOOSE(CONTROL!$C$22, $C$13, 100%, $E$13)</f>
        <v>13.206799999999999</v>
      </c>
      <c r="D864" s="60">
        <f>13.2444 * CHOOSE(CONTROL!$C$22, $C$13, 100%, $E$13)</f>
        <v>13.244400000000001</v>
      </c>
      <c r="E864" s="61">
        <f>15.9641 * CHOOSE(CONTROL!$C$22, $C$13, 100%, $E$13)</f>
        <v>15.9641</v>
      </c>
      <c r="F864" s="61">
        <f>15.9641 * CHOOSE(CONTROL!$C$22, $C$13, 100%, $E$13)</f>
        <v>15.9641</v>
      </c>
      <c r="G864" s="61">
        <f>15.9664 * CHOOSE(CONTROL!$C$22, $C$13, 100%, $E$13)</f>
        <v>15.9664</v>
      </c>
      <c r="H864" s="61">
        <f>26.2921* CHOOSE(CONTROL!$C$22, $C$13, 100%, $E$13)</f>
        <v>26.292100000000001</v>
      </c>
      <c r="I864" s="61">
        <f>26.2945 * CHOOSE(CONTROL!$C$22, $C$13, 100%, $E$13)</f>
        <v>26.294499999999999</v>
      </c>
      <c r="J864" s="61">
        <f>15.4548 * CHOOSE(CONTROL!$C$22, $C$13, 100%, $E$13)</f>
        <v>15.454800000000001</v>
      </c>
      <c r="K864" s="61">
        <f>15.9664 * CHOOSE(CONTROL!$C$22, $C$13, 100%, $E$13)</f>
        <v>15.9664</v>
      </c>
    </row>
    <row r="865" spans="1:11" ht="15">
      <c r="A865" s="13">
        <v>68181</v>
      </c>
      <c r="B865" s="60">
        <f>13.2037 * CHOOSE(CONTROL!$C$22, $C$13, 100%, $E$13)</f>
        <v>13.2037</v>
      </c>
      <c r="C865" s="60">
        <f>13.2037 * CHOOSE(CONTROL!$C$22, $C$13, 100%, $E$13)</f>
        <v>13.2037</v>
      </c>
      <c r="D865" s="60">
        <f>13.2414 * CHOOSE(CONTROL!$C$22, $C$13, 100%, $E$13)</f>
        <v>13.241400000000001</v>
      </c>
      <c r="E865" s="61">
        <f>15.9342 * CHOOSE(CONTROL!$C$22, $C$13, 100%, $E$13)</f>
        <v>15.934200000000001</v>
      </c>
      <c r="F865" s="61">
        <f>15.9342 * CHOOSE(CONTROL!$C$22, $C$13, 100%, $E$13)</f>
        <v>15.934200000000001</v>
      </c>
      <c r="G865" s="61">
        <f>15.9365 * CHOOSE(CONTROL!$C$22, $C$13, 100%, $E$13)</f>
        <v>15.936500000000001</v>
      </c>
      <c r="H865" s="61">
        <f>26.3469* CHOOSE(CONTROL!$C$22, $C$13, 100%, $E$13)</f>
        <v>26.346900000000002</v>
      </c>
      <c r="I865" s="61">
        <f>26.3492 * CHOOSE(CONTROL!$C$22, $C$13, 100%, $E$13)</f>
        <v>26.3492</v>
      </c>
      <c r="J865" s="61">
        <f>15.426 * CHOOSE(CONTROL!$C$22, $C$13, 100%, $E$13)</f>
        <v>15.426</v>
      </c>
      <c r="K865" s="61">
        <f>15.9365 * CHOOSE(CONTROL!$C$22, $C$13, 100%, $E$13)</f>
        <v>15.936500000000001</v>
      </c>
    </row>
    <row r="866" spans="1:11" ht="15">
      <c r="A866" s="13">
        <v>68211</v>
      </c>
      <c r="B866" s="60">
        <f>13.2338 * CHOOSE(CONTROL!$C$22, $C$13, 100%, $E$13)</f>
        <v>13.2338</v>
      </c>
      <c r="C866" s="60">
        <f>13.2338 * CHOOSE(CONTROL!$C$22, $C$13, 100%, $E$13)</f>
        <v>13.2338</v>
      </c>
      <c r="D866" s="60">
        <f>13.2526 * CHOOSE(CONTROL!$C$22, $C$13, 100%, $E$13)</f>
        <v>13.252599999999999</v>
      </c>
      <c r="E866" s="61">
        <f>16.0318 * CHOOSE(CONTROL!$C$22, $C$13, 100%, $E$13)</f>
        <v>16.0318</v>
      </c>
      <c r="F866" s="61">
        <f>16.0318 * CHOOSE(CONTROL!$C$22, $C$13, 100%, $E$13)</f>
        <v>16.0318</v>
      </c>
      <c r="G866" s="61">
        <f>16.032 * CHOOSE(CONTROL!$C$22, $C$13, 100%, $E$13)</f>
        <v>16.032</v>
      </c>
      <c r="H866" s="61">
        <f>26.4018* CHOOSE(CONTROL!$C$22, $C$13, 100%, $E$13)</f>
        <v>26.401800000000001</v>
      </c>
      <c r="I866" s="61">
        <f>26.402 * CHOOSE(CONTROL!$C$22, $C$13, 100%, $E$13)</f>
        <v>26.402000000000001</v>
      </c>
      <c r="J866" s="61">
        <f>15.5193 * CHOOSE(CONTROL!$C$22, $C$13, 100%, $E$13)</f>
        <v>15.519299999999999</v>
      </c>
      <c r="K866" s="61">
        <f>16.032 * CHOOSE(CONTROL!$C$22, $C$13, 100%, $E$13)</f>
        <v>16.032</v>
      </c>
    </row>
    <row r="867" spans="1:11" ht="15">
      <c r="A867" s="13">
        <v>68242</v>
      </c>
      <c r="B867" s="60">
        <f>13.2368 * CHOOSE(CONTROL!$C$22, $C$13, 100%, $E$13)</f>
        <v>13.236800000000001</v>
      </c>
      <c r="C867" s="60">
        <f>13.2368 * CHOOSE(CONTROL!$C$22, $C$13, 100%, $E$13)</f>
        <v>13.236800000000001</v>
      </c>
      <c r="D867" s="60">
        <f>13.2556 * CHOOSE(CONTROL!$C$22, $C$13, 100%, $E$13)</f>
        <v>13.255599999999999</v>
      </c>
      <c r="E867" s="61">
        <f>16.0894 * CHOOSE(CONTROL!$C$22, $C$13, 100%, $E$13)</f>
        <v>16.089400000000001</v>
      </c>
      <c r="F867" s="61">
        <f>16.0894 * CHOOSE(CONTROL!$C$22, $C$13, 100%, $E$13)</f>
        <v>16.089400000000001</v>
      </c>
      <c r="G867" s="61">
        <f>16.0896 * CHOOSE(CONTROL!$C$22, $C$13, 100%, $E$13)</f>
        <v>16.089600000000001</v>
      </c>
      <c r="H867" s="61">
        <f>26.4568* CHOOSE(CONTROL!$C$22, $C$13, 100%, $E$13)</f>
        <v>26.456800000000001</v>
      </c>
      <c r="I867" s="61">
        <f>26.457 * CHOOSE(CONTROL!$C$22, $C$13, 100%, $E$13)</f>
        <v>26.457000000000001</v>
      </c>
      <c r="J867" s="61">
        <f>15.5748 * CHOOSE(CONTROL!$C$22, $C$13, 100%, $E$13)</f>
        <v>15.5748</v>
      </c>
      <c r="K867" s="61">
        <f>16.0896 * CHOOSE(CONTROL!$C$22, $C$13, 100%, $E$13)</f>
        <v>16.089600000000001</v>
      </c>
    </row>
    <row r="868" spans="1:11" ht="15">
      <c r="A868" s="13">
        <v>68272</v>
      </c>
      <c r="B868" s="60">
        <f>13.2368 * CHOOSE(CONTROL!$C$22, $C$13, 100%, $E$13)</f>
        <v>13.236800000000001</v>
      </c>
      <c r="C868" s="60">
        <f>13.2368 * CHOOSE(CONTROL!$C$22, $C$13, 100%, $E$13)</f>
        <v>13.236800000000001</v>
      </c>
      <c r="D868" s="60">
        <f>13.2556 * CHOOSE(CONTROL!$C$22, $C$13, 100%, $E$13)</f>
        <v>13.255599999999999</v>
      </c>
      <c r="E868" s="61">
        <f>15.9506 * CHOOSE(CONTROL!$C$22, $C$13, 100%, $E$13)</f>
        <v>15.9506</v>
      </c>
      <c r="F868" s="61">
        <f>15.9506 * CHOOSE(CONTROL!$C$22, $C$13, 100%, $E$13)</f>
        <v>15.9506</v>
      </c>
      <c r="G868" s="61">
        <f>15.9508 * CHOOSE(CONTROL!$C$22, $C$13, 100%, $E$13)</f>
        <v>15.950799999999999</v>
      </c>
      <c r="H868" s="61">
        <f>26.5119* CHOOSE(CONTROL!$C$22, $C$13, 100%, $E$13)</f>
        <v>26.511900000000001</v>
      </c>
      <c r="I868" s="61">
        <f>26.5121 * CHOOSE(CONTROL!$C$22, $C$13, 100%, $E$13)</f>
        <v>26.5121</v>
      </c>
      <c r="J868" s="61">
        <f>15.4413 * CHOOSE(CONTROL!$C$22, $C$13, 100%, $E$13)</f>
        <v>15.4413</v>
      </c>
      <c r="K868" s="61">
        <f>15.9508 * CHOOSE(CONTROL!$C$22, $C$13, 100%, $E$13)</f>
        <v>15.950799999999999</v>
      </c>
    </row>
    <row r="869" spans="1:11" ht="15">
      <c r="A869" s="13">
        <v>68303</v>
      </c>
      <c r="B869" s="60">
        <f>13.2254 * CHOOSE(CONTROL!$C$22, $C$13, 100%, $E$13)</f>
        <v>13.2254</v>
      </c>
      <c r="C869" s="60">
        <f>13.2254 * CHOOSE(CONTROL!$C$22, $C$13, 100%, $E$13)</f>
        <v>13.2254</v>
      </c>
      <c r="D869" s="60">
        <f>13.2442 * CHOOSE(CONTROL!$C$22, $C$13, 100%, $E$13)</f>
        <v>13.244199999999999</v>
      </c>
      <c r="E869" s="61">
        <f>16.0324 * CHOOSE(CONTROL!$C$22, $C$13, 100%, $E$13)</f>
        <v>16.032399999999999</v>
      </c>
      <c r="F869" s="61">
        <f>16.0324 * CHOOSE(CONTROL!$C$22, $C$13, 100%, $E$13)</f>
        <v>16.032399999999999</v>
      </c>
      <c r="G869" s="61">
        <f>16.0326 * CHOOSE(CONTROL!$C$22, $C$13, 100%, $E$13)</f>
        <v>16.032599999999999</v>
      </c>
      <c r="H869" s="61">
        <f>26.3134* CHOOSE(CONTROL!$C$22, $C$13, 100%, $E$13)</f>
        <v>26.313400000000001</v>
      </c>
      <c r="I869" s="61">
        <f>26.3135 * CHOOSE(CONTROL!$C$22, $C$13, 100%, $E$13)</f>
        <v>26.313500000000001</v>
      </c>
      <c r="J869" s="61">
        <f>15.5067 * CHOOSE(CONTROL!$C$22, $C$13, 100%, $E$13)</f>
        <v>15.5067</v>
      </c>
      <c r="K869" s="61">
        <f>16.0326 * CHOOSE(CONTROL!$C$22, $C$13, 100%, $E$13)</f>
        <v>16.032599999999999</v>
      </c>
    </row>
    <row r="870" spans="1:11" ht="15">
      <c r="A870" s="13">
        <v>68334</v>
      </c>
      <c r="B870" s="60">
        <f>13.2224 * CHOOSE(CONTROL!$C$22, $C$13, 100%, $E$13)</f>
        <v>13.2224</v>
      </c>
      <c r="C870" s="60">
        <f>13.2224 * CHOOSE(CONTROL!$C$22, $C$13, 100%, $E$13)</f>
        <v>13.2224</v>
      </c>
      <c r="D870" s="60">
        <f>13.2412 * CHOOSE(CONTROL!$C$22, $C$13, 100%, $E$13)</f>
        <v>13.241199999999999</v>
      </c>
      <c r="E870" s="61">
        <f>15.7631 * CHOOSE(CONTROL!$C$22, $C$13, 100%, $E$13)</f>
        <v>15.7631</v>
      </c>
      <c r="F870" s="61">
        <f>15.7631 * CHOOSE(CONTROL!$C$22, $C$13, 100%, $E$13)</f>
        <v>15.7631</v>
      </c>
      <c r="G870" s="61">
        <f>15.7633 * CHOOSE(CONTROL!$C$22, $C$13, 100%, $E$13)</f>
        <v>15.763299999999999</v>
      </c>
      <c r="H870" s="61">
        <f>26.3682* CHOOSE(CONTROL!$C$22, $C$13, 100%, $E$13)</f>
        <v>26.368200000000002</v>
      </c>
      <c r="I870" s="61">
        <f>26.3684 * CHOOSE(CONTROL!$C$22, $C$13, 100%, $E$13)</f>
        <v>26.368400000000001</v>
      </c>
      <c r="J870" s="61">
        <f>15.248 * CHOOSE(CONTROL!$C$22, $C$13, 100%, $E$13)</f>
        <v>15.247999999999999</v>
      </c>
      <c r="K870" s="61">
        <f>15.7633 * CHOOSE(CONTROL!$C$22, $C$13, 100%, $E$13)</f>
        <v>15.763299999999999</v>
      </c>
    </row>
    <row r="871" spans="1:11" ht="15">
      <c r="A871" s="13">
        <v>68362</v>
      </c>
      <c r="B871" s="60">
        <f>13.2193 * CHOOSE(CONTROL!$C$22, $C$13, 100%, $E$13)</f>
        <v>13.2193</v>
      </c>
      <c r="C871" s="60">
        <f>13.2193 * CHOOSE(CONTROL!$C$22, $C$13, 100%, $E$13)</f>
        <v>13.2193</v>
      </c>
      <c r="D871" s="60">
        <f>13.2382 * CHOOSE(CONTROL!$C$22, $C$13, 100%, $E$13)</f>
        <v>13.238200000000001</v>
      </c>
      <c r="E871" s="61">
        <f>15.9716 * CHOOSE(CONTROL!$C$22, $C$13, 100%, $E$13)</f>
        <v>15.9716</v>
      </c>
      <c r="F871" s="61">
        <f>15.9716 * CHOOSE(CONTROL!$C$22, $C$13, 100%, $E$13)</f>
        <v>15.9716</v>
      </c>
      <c r="G871" s="61">
        <f>15.9718 * CHOOSE(CONTROL!$C$22, $C$13, 100%, $E$13)</f>
        <v>15.9718</v>
      </c>
      <c r="H871" s="61">
        <f>26.4231* CHOOSE(CONTROL!$C$22, $C$13, 100%, $E$13)</f>
        <v>26.423100000000002</v>
      </c>
      <c r="I871" s="61">
        <f>26.4233 * CHOOSE(CONTROL!$C$22, $C$13, 100%, $E$13)</f>
        <v>26.423300000000001</v>
      </c>
      <c r="J871" s="61">
        <f>15.4482 * CHOOSE(CONTROL!$C$22, $C$13, 100%, $E$13)</f>
        <v>15.4482</v>
      </c>
      <c r="K871" s="61">
        <f>15.9718 * CHOOSE(CONTROL!$C$22, $C$13, 100%, $E$13)</f>
        <v>15.9718</v>
      </c>
    </row>
    <row r="872" spans="1:11" ht="15">
      <c r="A872" s="13">
        <v>68393</v>
      </c>
      <c r="B872" s="60">
        <f>13.2261 * CHOOSE(CONTROL!$C$22, $C$13, 100%, $E$13)</f>
        <v>13.226100000000001</v>
      </c>
      <c r="C872" s="60">
        <f>13.2261 * CHOOSE(CONTROL!$C$22, $C$13, 100%, $E$13)</f>
        <v>13.226100000000001</v>
      </c>
      <c r="D872" s="60">
        <f>13.2449 * CHOOSE(CONTROL!$C$22, $C$13, 100%, $E$13)</f>
        <v>13.244899999999999</v>
      </c>
      <c r="E872" s="61">
        <f>16.1936 * CHOOSE(CONTROL!$C$22, $C$13, 100%, $E$13)</f>
        <v>16.1936</v>
      </c>
      <c r="F872" s="61">
        <f>16.1936 * CHOOSE(CONTROL!$C$22, $C$13, 100%, $E$13)</f>
        <v>16.1936</v>
      </c>
      <c r="G872" s="61">
        <f>16.1938 * CHOOSE(CONTROL!$C$22, $C$13, 100%, $E$13)</f>
        <v>16.1938</v>
      </c>
      <c r="H872" s="61">
        <f>26.4782* CHOOSE(CONTROL!$C$22, $C$13, 100%, $E$13)</f>
        <v>26.478200000000001</v>
      </c>
      <c r="I872" s="61">
        <f>26.4783 * CHOOSE(CONTROL!$C$22, $C$13, 100%, $E$13)</f>
        <v>26.478300000000001</v>
      </c>
      <c r="J872" s="61">
        <f>15.6612 * CHOOSE(CONTROL!$C$22, $C$13, 100%, $E$13)</f>
        <v>15.661199999999999</v>
      </c>
      <c r="K872" s="61">
        <f>16.1938 * CHOOSE(CONTROL!$C$22, $C$13, 100%, $E$13)</f>
        <v>16.1938</v>
      </c>
    </row>
    <row r="873" spans="1:11" ht="15">
      <c r="A873" s="13">
        <v>68423</v>
      </c>
      <c r="B873" s="60">
        <f>13.2261 * CHOOSE(CONTROL!$C$22, $C$13, 100%, $E$13)</f>
        <v>13.226100000000001</v>
      </c>
      <c r="C873" s="60">
        <f>13.2261 * CHOOSE(CONTROL!$C$22, $C$13, 100%, $E$13)</f>
        <v>13.226100000000001</v>
      </c>
      <c r="D873" s="60">
        <f>13.2637 * CHOOSE(CONTROL!$C$22, $C$13, 100%, $E$13)</f>
        <v>13.2637</v>
      </c>
      <c r="E873" s="61">
        <f>16.2784 * CHOOSE(CONTROL!$C$22, $C$13, 100%, $E$13)</f>
        <v>16.278400000000001</v>
      </c>
      <c r="F873" s="61">
        <f>16.2784 * CHOOSE(CONTROL!$C$22, $C$13, 100%, $E$13)</f>
        <v>16.278400000000001</v>
      </c>
      <c r="G873" s="61">
        <f>16.2808 * CHOOSE(CONTROL!$C$22, $C$13, 100%, $E$13)</f>
        <v>16.280799999999999</v>
      </c>
      <c r="H873" s="61">
        <f>26.5333* CHOOSE(CONTROL!$C$22, $C$13, 100%, $E$13)</f>
        <v>26.533300000000001</v>
      </c>
      <c r="I873" s="61">
        <f>26.5356 * CHOOSE(CONTROL!$C$22, $C$13, 100%, $E$13)</f>
        <v>26.535599999999999</v>
      </c>
      <c r="J873" s="61">
        <f>15.7427 * CHOOSE(CONTROL!$C$22, $C$13, 100%, $E$13)</f>
        <v>15.742699999999999</v>
      </c>
      <c r="K873" s="61">
        <f>16.2808 * CHOOSE(CONTROL!$C$22, $C$13, 100%, $E$13)</f>
        <v>16.280799999999999</v>
      </c>
    </row>
    <row r="874" spans="1:11" ht="15">
      <c r="A874" s="13">
        <v>68454</v>
      </c>
      <c r="B874" s="60">
        <f>13.2322 * CHOOSE(CONTROL!$C$22, $C$13, 100%, $E$13)</f>
        <v>13.232200000000001</v>
      </c>
      <c r="C874" s="60">
        <f>13.2322 * CHOOSE(CONTROL!$C$22, $C$13, 100%, $E$13)</f>
        <v>13.232200000000001</v>
      </c>
      <c r="D874" s="60">
        <f>13.2698 * CHOOSE(CONTROL!$C$22, $C$13, 100%, $E$13)</f>
        <v>13.2698</v>
      </c>
      <c r="E874" s="61">
        <f>16.1978 * CHOOSE(CONTROL!$C$22, $C$13, 100%, $E$13)</f>
        <v>16.197800000000001</v>
      </c>
      <c r="F874" s="61">
        <f>16.1978 * CHOOSE(CONTROL!$C$22, $C$13, 100%, $E$13)</f>
        <v>16.197800000000001</v>
      </c>
      <c r="G874" s="61">
        <f>16.2002 * CHOOSE(CONTROL!$C$22, $C$13, 100%, $E$13)</f>
        <v>16.200199999999999</v>
      </c>
      <c r="H874" s="61">
        <f>26.5886* CHOOSE(CONTROL!$C$22, $C$13, 100%, $E$13)</f>
        <v>26.5886</v>
      </c>
      <c r="I874" s="61">
        <f>26.5909 * CHOOSE(CONTROL!$C$22, $C$13, 100%, $E$13)</f>
        <v>26.590900000000001</v>
      </c>
      <c r="J874" s="61">
        <f>15.6654 * CHOOSE(CONTROL!$C$22, $C$13, 100%, $E$13)</f>
        <v>15.6654</v>
      </c>
      <c r="K874" s="61">
        <f>16.2002 * CHOOSE(CONTROL!$C$22, $C$13, 100%, $E$13)</f>
        <v>16.200199999999999</v>
      </c>
    </row>
    <row r="875" spans="1:11" ht="15">
      <c r="A875" s="13">
        <v>68484</v>
      </c>
      <c r="B875" s="60">
        <f>13.415 * CHOOSE(CONTROL!$C$22, $C$13, 100%, $E$13)</f>
        <v>13.414999999999999</v>
      </c>
      <c r="C875" s="60">
        <f>13.415 * CHOOSE(CONTROL!$C$22, $C$13, 100%, $E$13)</f>
        <v>13.414999999999999</v>
      </c>
      <c r="D875" s="60">
        <f>13.4526 * CHOOSE(CONTROL!$C$22, $C$13, 100%, $E$13)</f>
        <v>13.4526</v>
      </c>
      <c r="E875" s="61">
        <f>16.4909 * CHOOSE(CONTROL!$C$22, $C$13, 100%, $E$13)</f>
        <v>16.4909</v>
      </c>
      <c r="F875" s="61">
        <f>16.4909 * CHOOSE(CONTROL!$C$22, $C$13, 100%, $E$13)</f>
        <v>16.4909</v>
      </c>
      <c r="G875" s="61">
        <f>16.4932 * CHOOSE(CONTROL!$C$22, $C$13, 100%, $E$13)</f>
        <v>16.493200000000002</v>
      </c>
      <c r="H875" s="61">
        <f>26.644* CHOOSE(CONTROL!$C$22, $C$13, 100%, $E$13)</f>
        <v>26.643999999999998</v>
      </c>
      <c r="I875" s="61">
        <f>26.6463 * CHOOSE(CONTROL!$C$22, $C$13, 100%, $E$13)</f>
        <v>26.6463</v>
      </c>
      <c r="J875" s="61">
        <f>15.9494 * CHOOSE(CONTROL!$C$22, $C$13, 100%, $E$13)</f>
        <v>15.949400000000001</v>
      </c>
      <c r="K875" s="61">
        <f>16.4932 * CHOOSE(CONTROL!$C$22, $C$13, 100%, $E$13)</f>
        <v>16.493200000000002</v>
      </c>
    </row>
    <row r="876" spans="1:11" ht="15">
      <c r="A876" s="13">
        <v>68515</v>
      </c>
      <c r="B876" s="60">
        <f>13.4217 * CHOOSE(CONTROL!$C$22, $C$13, 100%, $E$13)</f>
        <v>13.4217</v>
      </c>
      <c r="C876" s="60">
        <f>13.4217 * CHOOSE(CONTROL!$C$22, $C$13, 100%, $E$13)</f>
        <v>13.4217</v>
      </c>
      <c r="D876" s="60">
        <f>13.4593 * CHOOSE(CONTROL!$C$22, $C$13, 100%, $E$13)</f>
        <v>13.459300000000001</v>
      </c>
      <c r="E876" s="61">
        <f>16.2411 * CHOOSE(CONTROL!$C$22, $C$13, 100%, $E$13)</f>
        <v>16.241099999999999</v>
      </c>
      <c r="F876" s="61">
        <f>16.2411 * CHOOSE(CONTROL!$C$22, $C$13, 100%, $E$13)</f>
        <v>16.241099999999999</v>
      </c>
      <c r="G876" s="61">
        <f>16.2434 * CHOOSE(CONTROL!$C$22, $C$13, 100%, $E$13)</f>
        <v>16.243400000000001</v>
      </c>
      <c r="H876" s="61">
        <f>26.6995* CHOOSE(CONTROL!$C$22, $C$13, 100%, $E$13)</f>
        <v>26.6995</v>
      </c>
      <c r="I876" s="61">
        <f>26.7018 * CHOOSE(CONTROL!$C$22, $C$13, 100%, $E$13)</f>
        <v>26.701799999999999</v>
      </c>
      <c r="J876" s="61">
        <f>15.7096 * CHOOSE(CONTROL!$C$22, $C$13, 100%, $E$13)</f>
        <v>15.7096</v>
      </c>
      <c r="K876" s="61">
        <f>16.2434 * CHOOSE(CONTROL!$C$22, $C$13, 100%, $E$13)</f>
        <v>16.243400000000001</v>
      </c>
    </row>
    <row r="877" spans="1:11" ht="15">
      <c r="A877" s="13">
        <v>68546</v>
      </c>
      <c r="B877" s="60">
        <f>13.4187 * CHOOSE(CONTROL!$C$22, $C$13, 100%, $E$13)</f>
        <v>13.418699999999999</v>
      </c>
      <c r="C877" s="60">
        <f>13.4187 * CHOOSE(CONTROL!$C$22, $C$13, 100%, $E$13)</f>
        <v>13.418699999999999</v>
      </c>
      <c r="D877" s="60">
        <f>13.4563 * CHOOSE(CONTROL!$C$22, $C$13, 100%, $E$13)</f>
        <v>13.456300000000001</v>
      </c>
      <c r="E877" s="61">
        <f>16.2107 * CHOOSE(CONTROL!$C$22, $C$13, 100%, $E$13)</f>
        <v>16.210699999999999</v>
      </c>
      <c r="F877" s="61">
        <f>16.2107 * CHOOSE(CONTROL!$C$22, $C$13, 100%, $E$13)</f>
        <v>16.210699999999999</v>
      </c>
      <c r="G877" s="61">
        <f>16.213 * CHOOSE(CONTROL!$C$22, $C$13, 100%, $E$13)</f>
        <v>16.213000000000001</v>
      </c>
      <c r="H877" s="61">
        <f>26.7551* CHOOSE(CONTROL!$C$22, $C$13, 100%, $E$13)</f>
        <v>26.755099999999999</v>
      </c>
      <c r="I877" s="61">
        <f>26.7574 * CHOOSE(CONTROL!$C$22, $C$13, 100%, $E$13)</f>
        <v>26.757400000000001</v>
      </c>
      <c r="J877" s="61">
        <f>15.6803 * CHOOSE(CONTROL!$C$22, $C$13, 100%, $E$13)</f>
        <v>15.680300000000001</v>
      </c>
      <c r="K877" s="61">
        <f>16.213 * CHOOSE(CONTROL!$C$22, $C$13, 100%, $E$13)</f>
        <v>16.213000000000001</v>
      </c>
    </row>
    <row r="878" spans="1:11" ht="15">
      <c r="A878" s="13">
        <v>68576</v>
      </c>
      <c r="B878" s="60">
        <f>13.4495 * CHOOSE(CONTROL!$C$22, $C$13, 100%, $E$13)</f>
        <v>13.4495</v>
      </c>
      <c r="C878" s="60">
        <f>13.4495 * CHOOSE(CONTROL!$C$22, $C$13, 100%, $E$13)</f>
        <v>13.4495</v>
      </c>
      <c r="D878" s="60">
        <f>13.4683 * CHOOSE(CONTROL!$C$22, $C$13, 100%, $E$13)</f>
        <v>13.468299999999999</v>
      </c>
      <c r="E878" s="61">
        <f>16.3104 * CHOOSE(CONTROL!$C$22, $C$13, 100%, $E$13)</f>
        <v>16.310400000000001</v>
      </c>
      <c r="F878" s="61">
        <f>16.3104 * CHOOSE(CONTROL!$C$22, $C$13, 100%, $E$13)</f>
        <v>16.310400000000001</v>
      </c>
      <c r="G878" s="61">
        <f>16.3105 * CHOOSE(CONTROL!$C$22, $C$13, 100%, $E$13)</f>
        <v>16.310500000000001</v>
      </c>
      <c r="H878" s="61">
        <f>26.8109* CHOOSE(CONTROL!$C$22, $C$13, 100%, $E$13)</f>
        <v>26.8109</v>
      </c>
      <c r="I878" s="61">
        <f>26.811 * CHOOSE(CONTROL!$C$22, $C$13, 100%, $E$13)</f>
        <v>26.811</v>
      </c>
      <c r="J878" s="61">
        <f>15.7755 * CHOOSE(CONTROL!$C$22, $C$13, 100%, $E$13)</f>
        <v>15.775499999999999</v>
      </c>
      <c r="K878" s="61">
        <f>16.3105 * CHOOSE(CONTROL!$C$22, $C$13, 100%, $E$13)</f>
        <v>16.310500000000001</v>
      </c>
    </row>
    <row r="879" spans="1:11" ht="15">
      <c r="A879" s="13">
        <v>68607</v>
      </c>
      <c r="B879" s="60">
        <f>13.4526 * CHOOSE(CONTROL!$C$22, $C$13, 100%, $E$13)</f>
        <v>13.4526</v>
      </c>
      <c r="C879" s="60">
        <f>13.4526 * CHOOSE(CONTROL!$C$22, $C$13, 100%, $E$13)</f>
        <v>13.4526</v>
      </c>
      <c r="D879" s="60">
        <f>13.4714 * CHOOSE(CONTROL!$C$22, $C$13, 100%, $E$13)</f>
        <v>13.471399999999999</v>
      </c>
      <c r="E879" s="61">
        <f>16.369 * CHOOSE(CONTROL!$C$22, $C$13, 100%, $E$13)</f>
        <v>16.369</v>
      </c>
      <c r="F879" s="61">
        <f>16.369 * CHOOSE(CONTROL!$C$22, $C$13, 100%, $E$13)</f>
        <v>16.369</v>
      </c>
      <c r="G879" s="61">
        <f>16.3692 * CHOOSE(CONTROL!$C$22, $C$13, 100%, $E$13)</f>
        <v>16.369199999999999</v>
      </c>
      <c r="H879" s="61">
        <f>26.8667* CHOOSE(CONTROL!$C$22, $C$13, 100%, $E$13)</f>
        <v>26.866700000000002</v>
      </c>
      <c r="I879" s="61">
        <f>26.8669 * CHOOSE(CONTROL!$C$22, $C$13, 100%, $E$13)</f>
        <v>26.866900000000001</v>
      </c>
      <c r="J879" s="61">
        <f>15.832 * CHOOSE(CONTROL!$C$22, $C$13, 100%, $E$13)</f>
        <v>15.832000000000001</v>
      </c>
      <c r="K879" s="61">
        <f>16.3692 * CHOOSE(CONTROL!$C$22, $C$13, 100%, $E$13)</f>
        <v>16.369199999999999</v>
      </c>
    </row>
    <row r="880" spans="1:11" ht="15">
      <c r="A880" s="13">
        <v>68637</v>
      </c>
      <c r="B880" s="60">
        <f>13.4526 * CHOOSE(CONTROL!$C$22, $C$13, 100%, $E$13)</f>
        <v>13.4526</v>
      </c>
      <c r="C880" s="60">
        <f>13.4526 * CHOOSE(CONTROL!$C$22, $C$13, 100%, $E$13)</f>
        <v>13.4526</v>
      </c>
      <c r="D880" s="60">
        <f>13.4714 * CHOOSE(CONTROL!$C$22, $C$13, 100%, $E$13)</f>
        <v>13.471399999999999</v>
      </c>
      <c r="E880" s="61">
        <f>16.2277 * CHOOSE(CONTROL!$C$22, $C$13, 100%, $E$13)</f>
        <v>16.227699999999999</v>
      </c>
      <c r="F880" s="61">
        <f>16.2277 * CHOOSE(CONTROL!$C$22, $C$13, 100%, $E$13)</f>
        <v>16.227699999999999</v>
      </c>
      <c r="G880" s="61">
        <f>16.2278 * CHOOSE(CONTROL!$C$22, $C$13, 100%, $E$13)</f>
        <v>16.227799999999998</v>
      </c>
      <c r="H880" s="61">
        <f>26.9227* CHOOSE(CONTROL!$C$22, $C$13, 100%, $E$13)</f>
        <v>26.922699999999999</v>
      </c>
      <c r="I880" s="61">
        <f>26.9229 * CHOOSE(CONTROL!$C$22, $C$13, 100%, $E$13)</f>
        <v>26.922899999999998</v>
      </c>
      <c r="J880" s="61">
        <f>15.6962 * CHOOSE(CONTROL!$C$22, $C$13, 100%, $E$13)</f>
        <v>15.696199999999999</v>
      </c>
      <c r="K880" s="61">
        <f>16.2278 * CHOOSE(CONTROL!$C$22, $C$13, 100%, $E$13)</f>
        <v>16.227799999999998</v>
      </c>
    </row>
    <row r="881" spans="1:11" ht="15">
      <c r="A881" s="13">
        <v>68668</v>
      </c>
      <c r="B881" s="60">
        <f>13.4374 * CHOOSE(CONTROL!$C$22, $C$13, 100%, $E$13)</f>
        <v>13.4374</v>
      </c>
      <c r="C881" s="60">
        <f>13.4374 * CHOOSE(CONTROL!$C$22, $C$13, 100%, $E$13)</f>
        <v>13.4374</v>
      </c>
      <c r="D881" s="60">
        <f>13.4563 * CHOOSE(CONTROL!$C$22, $C$13, 100%, $E$13)</f>
        <v>13.456300000000001</v>
      </c>
      <c r="E881" s="61">
        <f>16.3062 * CHOOSE(CONTROL!$C$22, $C$13, 100%, $E$13)</f>
        <v>16.3062</v>
      </c>
      <c r="F881" s="61">
        <f>16.3062 * CHOOSE(CONTROL!$C$22, $C$13, 100%, $E$13)</f>
        <v>16.3062</v>
      </c>
      <c r="G881" s="61">
        <f>16.3064 * CHOOSE(CONTROL!$C$22, $C$13, 100%, $E$13)</f>
        <v>16.3064</v>
      </c>
      <c r="H881" s="61">
        <f>26.7148* CHOOSE(CONTROL!$C$22, $C$13, 100%, $E$13)</f>
        <v>26.7148</v>
      </c>
      <c r="I881" s="61">
        <f>26.715 * CHOOSE(CONTROL!$C$22, $C$13, 100%, $E$13)</f>
        <v>26.715</v>
      </c>
      <c r="J881" s="61">
        <f>15.7586 * CHOOSE(CONTROL!$C$22, $C$13, 100%, $E$13)</f>
        <v>15.758599999999999</v>
      </c>
      <c r="K881" s="61">
        <f>16.3064 * CHOOSE(CONTROL!$C$22, $C$13, 100%, $E$13)</f>
        <v>16.3064</v>
      </c>
    </row>
    <row r="882" spans="1:11" ht="15">
      <c r="A882" s="13">
        <v>68699</v>
      </c>
      <c r="B882" s="60">
        <f>13.4344 * CHOOSE(CONTROL!$C$22, $C$13, 100%, $E$13)</f>
        <v>13.4344</v>
      </c>
      <c r="C882" s="60">
        <f>13.4344 * CHOOSE(CONTROL!$C$22, $C$13, 100%, $E$13)</f>
        <v>13.4344</v>
      </c>
      <c r="D882" s="60">
        <f>13.4532 * CHOOSE(CONTROL!$C$22, $C$13, 100%, $E$13)</f>
        <v>13.453200000000001</v>
      </c>
      <c r="E882" s="61">
        <f>16.032 * CHOOSE(CONTROL!$C$22, $C$13, 100%, $E$13)</f>
        <v>16.032</v>
      </c>
      <c r="F882" s="61">
        <f>16.032 * CHOOSE(CONTROL!$C$22, $C$13, 100%, $E$13)</f>
        <v>16.032</v>
      </c>
      <c r="G882" s="61">
        <f>16.0322 * CHOOSE(CONTROL!$C$22, $C$13, 100%, $E$13)</f>
        <v>16.0322</v>
      </c>
      <c r="H882" s="61">
        <f>26.7705* CHOOSE(CONTROL!$C$22, $C$13, 100%, $E$13)</f>
        <v>26.770499999999998</v>
      </c>
      <c r="I882" s="61">
        <f>26.7707 * CHOOSE(CONTROL!$C$22, $C$13, 100%, $E$13)</f>
        <v>26.770700000000001</v>
      </c>
      <c r="J882" s="61">
        <f>15.4954 * CHOOSE(CONTROL!$C$22, $C$13, 100%, $E$13)</f>
        <v>15.4954</v>
      </c>
      <c r="K882" s="61">
        <f>16.0322 * CHOOSE(CONTROL!$C$22, $C$13, 100%, $E$13)</f>
        <v>16.0322</v>
      </c>
    </row>
    <row r="883" spans="1:11" ht="15">
      <c r="A883" s="13">
        <v>68728</v>
      </c>
      <c r="B883" s="60">
        <f>13.4314 * CHOOSE(CONTROL!$C$22, $C$13, 100%, $E$13)</f>
        <v>13.4314</v>
      </c>
      <c r="C883" s="60">
        <f>13.4314 * CHOOSE(CONTROL!$C$22, $C$13, 100%, $E$13)</f>
        <v>13.4314</v>
      </c>
      <c r="D883" s="60">
        <f>13.4502 * CHOOSE(CONTROL!$C$22, $C$13, 100%, $E$13)</f>
        <v>13.450200000000001</v>
      </c>
      <c r="E883" s="61">
        <f>16.2444 * CHOOSE(CONTROL!$C$22, $C$13, 100%, $E$13)</f>
        <v>16.244399999999999</v>
      </c>
      <c r="F883" s="61">
        <f>16.2444 * CHOOSE(CONTROL!$C$22, $C$13, 100%, $E$13)</f>
        <v>16.244399999999999</v>
      </c>
      <c r="G883" s="61">
        <f>16.2445 * CHOOSE(CONTROL!$C$22, $C$13, 100%, $E$13)</f>
        <v>16.244499999999999</v>
      </c>
      <c r="H883" s="61">
        <f>26.8262* CHOOSE(CONTROL!$C$22, $C$13, 100%, $E$13)</f>
        <v>26.8262</v>
      </c>
      <c r="I883" s="61">
        <f>26.8264 * CHOOSE(CONTROL!$C$22, $C$13, 100%, $E$13)</f>
        <v>26.8264</v>
      </c>
      <c r="J883" s="61">
        <f>15.6991 * CHOOSE(CONTROL!$C$22, $C$13, 100%, $E$13)</f>
        <v>15.6991</v>
      </c>
      <c r="K883" s="61">
        <f>16.2445 * CHOOSE(CONTROL!$C$22, $C$13, 100%, $E$13)</f>
        <v>16.244499999999999</v>
      </c>
    </row>
    <row r="884" spans="1:11" ht="15">
      <c r="A884" s="13">
        <v>68759</v>
      </c>
      <c r="B884" s="60">
        <f>13.4383 * CHOOSE(CONTROL!$C$22, $C$13, 100%, $E$13)</f>
        <v>13.4383</v>
      </c>
      <c r="C884" s="60">
        <f>13.4383 * CHOOSE(CONTROL!$C$22, $C$13, 100%, $E$13)</f>
        <v>13.4383</v>
      </c>
      <c r="D884" s="60">
        <f>13.4571 * CHOOSE(CONTROL!$C$22, $C$13, 100%, $E$13)</f>
        <v>13.457100000000001</v>
      </c>
      <c r="E884" s="61">
        <f>16.4705 * CHOOSE(CONTROL!$C$22, $C$13, 100%, $E$13)</f>
        <v>16.470500000000001</v>
      </c>
      <c r="F884" s="61">
        <f>16.4705 * CHOOSE(CONTROL!$C$22, $C$13, 100%, $E$13)</f>
        <v>16.470500000000001</v>
      </c>
      <c r="G884" s="61">
        <f>16.4707 * CHOOSE(CONTROL!$C$22, $C$13, 100%, $E$13)</f>
        <v>16.470700000000001</v>
      </c>
      <c r="H884" s="61">
        <f>26.8821* CHOOSE(CONTROL!$C$22, $C$13, 100%, $E$13)</f>
        <v>26.882100000000001</v>
      </c>
      <c r="I884" s="61">
        <f>26.8823 * CHOOSE(CONTROL!$C$22, $C$13, 100%, $E$13)</f>
        <v>26.882300000000001</v>
      </c>
      <c r="J884" s="61">
        <f>15.9159 * CHOOSE(CONTROL!$C$22, $C$13, 100%, $E$13)</f>
        <v>15.915900000000001</v>
      </c>
      <c r="K884" s="61">
        <f>16.4707 * CHOOSE(CONTROL!$C$22, $C$13, 100%, $E$13)</f>
        <v>16.470700000000001</v>
      </c>
    </row>
    <row r="885" spans="1:11" ht="15">
      <c r="A885" s="13">
        <v>68789</v>
      </c>
      <c r="B885" s="60">
        <f>13.4383 * CHOOSE(CONTROL!$C$22, $C$13, 100%, $E$13)</f>
        <v>13.4383</v>
      </c>
      <c r="C885" s="60">
        <f>13.4383 * CHOOSE(CONTROL!$C$22, $C$13, 100%, $E$13)</f>
        <v>13.4383</v>
      </c>
      <c r="D885" s="60">
        <f>13.4759 * CHOOSE(CONTROL!$C$22, $C$13, 100%, $E$13)</f>
        <v>13.475899999999999</v>
      </c>
      <c r="E885" s="61">
        <f>16.5569 * CHOOSE(CONTROL!$C$22, $C$13, 100%, $E$13)</f>
        <v>16.556899999999999</v>
      </c>
      <c r="F885" s="61">
        <f>16.5569 * CHOOSE(CONTROL!$C$22, $C$13, 100%, $E$13)</f>
        <v>16.556899999999999</v>
      </c>
      <c r="G885" s="61">
        <f>16.5592 * CHOOSE(CONTROL!$C$22, $C$13, 100%, $E$13)</f>
        <v>16.559200000000001</v>
      </c>
      <c r="H885" s="61">
        <f>26.9381* CHOOSE(CONTROL!$C$22, $C$13, 100%, $E$13)</f>
        <v>26.938099999999999</v>
      </c>
      <c r="I885" s="61">
        <f>26.9405 * CHOOSE(CONTROL!$C$22, $C$13, 100%, $E$13)</f>
        <v>26.9405</v>
      </c>
      <c r="J885" s="61">
        <f>15.9988 * CHOOSE(CONTROL!$C$22, $C$13, 100%, $E$13)</f>
        <v>15.998799999999999</v>
      </c>
      <c r="K885" s="61">
        <f>16.5592 * CHOOSE(CONTROL!$C$22, $C$13, 100%, $E$13)</f>
        <v>16.559200000000001</v>
      </c>
    </row>
    <row r="886" spans="1:11" ht="15">
      <c r="A886" s="13">
        <v>68820</v>
      </c>
      <c r="B886" s="60">
        <f>13.4444 * CHOOSE(CONTROL!$C$22, $C$13, 100%, $E$13)</f>
        <v>13.4444</v>
      </c>
      <c r="C886" s="60">
        <f>13.4444 * CHOOSE(CONTROL!$C$22, $C$13, 100%, $E$13)</f>
        <v>13.4444</v>
      </c>
      <c r="D886" s="60">
        <f>13.482 * CHOOSE(CONTROL!$C$22, $C$13, 100%, $E$13)</f>
        <v>13.481999999999999</v>
      </c>
      <c r="E886" s="61">
        <f>16.4747 * CHOOSE(CONTROL!$C$22, $C$13, 100%, $E$13)</f>
        <v>16.474699999999999</v>
      </c>
      <c r="F886" s="61">
        <f>16.4747 * CHOOSE(CONTROL!$C$22, $C$13, 100%, $E$13)</f>
        <v>16.474699999999999</v>
      </c>
      <c r="G886" s="61">
        <f>16.477 * CHOOSE(CONTROL!$C$22, $C$13, 100%, $E$13)</f>
        <v>16.477</v>
      </c>
      <c r="H886" s="61">
        <f>26.9943* CHOOSE(CONTROL!$C$22, $C$13, 100%, $E$13)</f>
        <v>26.994299999999999</v>
      </c>
      <c r="I886" s="61">
        <f>26.9966 * CHOOSE(CONTROL!$C$22, $C$13, 100%, $E$13)</f>
        <v>26.996600000000001</v>
      </c>
      <c r="J886" s="61">
        <f>15.9201 * CHOOSE(CONTROL!$C$22, $C$13, 100%, $E$13)</f>
        <v>15.9201</v>
      </c>
      <c r="K886" s="61">
        <f>16.477 * CHOOSE(CONTROL!$C$22, $C$13, 100%, $E$13)</f>
        <v>16.477</v>
      </c>
    </row>
    <row r="887" spans="1:11" ht="15">
      <c r="A887" s="13">
        <v>68850</v>
      </c>
      <c r="B887" s="60">
        <f>13.6299 * CHOOSE(CONTROL!$C$22, $C$13, 100%, $E$13)</f>
        <v>13.629899999999999</v>
      </c>
      <c r="C887" s="60">
        <f>13.6299 * CHOOSE(CONTROL!$C$22, $C$13, 100%, $E$13)</f>
        <v>13.629899999999999</v>
      </c>
      <c r="D887" s="60">
        <f>13.6675 * CHOOSE(CONTROL!$C$22, $C$13, 100%, $E$13)</f>
        <v>13.6675</v>
      </c>
      <c r="E887" s="61">
        <f>16.7726 * CHOOSE(CONTROL!$C$22, $C$13, 100%, $E$13)</f>
        <v>16.772600000000001</v>
      </c>
      <c r="F887" s="61">
        <f>16.7726 * CHOOSE(CONTROL!$C$22, $C$13, 100%, $E$13)</f>
        <v>16.772600000000001</v>
      </c>
      <c r="G887" s="61">
        <f>16.7749 * CHOOSE(CONTROL!$C$22, $C$13, 100%, $E$13)</f>
        <v>16.774899999999999</v>
      </c>
      <c r="H887" s="61">
        <f>27.0505* CHOOSE(CONTROL!$C$22, $C$13, 100%, $E$13)</f>
        <v>27.0505</v>
      </c>
      <c r="I887" s="61">
        <f>27.0528 * CHOOSE(CONTROL!$C$22, $C$13, 100%, $E$13)</f>
        <v>27.052800000000001</v>
      </c>
      <c r="J887" s="61">
        <f>16.2085 * CHOOSE(CONTROL!$C$22, $C$13, 100%, $E$13)</f>
        <v>16.208500000000001</v>
      </c>
      <c r="K887" s="61">
        <f>16.7749 * CHOOSE(CONTROL!$C$22, $C$13, 100%, $E$13)</f>
        <v>16.774899999999999</v>
      </c>
    </row>
    <row r="888" spans="1:11" ht="15">
      <c r="A888" s="13">
        <v>68881</v>
      </c>
      <c r="B888" s="60">
        <f>13.6366 * CHOOSE(CONTROL!$C$22, $C$13, 100%, $E$13)</f>
        <v>13.6366</v>
      </c>
      <c r="C888" s="60">
        <f>13.6366 * CHOOSE(CONTROL!$C$22, $C$13, 100%, $E$13)</f>
        <v>13.6366</v>
      </c>
      <c r="D888" s="60">
        <f>13.6742 * CHOOSE(CONTROL!$C$22, $C$13, 100%, $E$13)</f>
        <v>13.674200000000001</v>
      </c>
      <c r="E888" s="61">
        <f>16.5181 * CHOOSE(CONTROL!$C$22, $C$13, 100%, $E$13)</f>
        <v>16.5181</v>
      </c>
      <c r="F888" s="61">
        <f>16.5181 * CHOOSE(CONTROL!$C$22, $C$13, 100%, $E$13)</f>
        <v>16.5181</v>
      </c>
      <c r="G888" s="61">
        <f>16.5204 * CHOOSE(CONTROL!$C$22, $C$13, 100%, $E$13)</f>
        <v>16.520399999999999</v>
      </c>
      <c r="H888" s="61">
        <f>27.1069* CHOOSE(CONTROL!$C$22, $C$13, 100%, $E$13)</f>
        <v>27.1069</v>
      </c>
      <c r="I888" s="61">
        <f>27.1092 * CHOOSE(CONTROL!$C$22, $C$13, 100%, $E$13)</f>
        <v>27.109200000000001</v>
      </c>
      <c r="J888" s="61">
        <f>15.9645 * CHOOSE(CONTROL!$C$22, $C$13, 100%, $E$13)</f>
        <v>15.964499999999999</v>
      </c>
      <c r="K888" s="61">
        <f>16.5204 * CHOOSE(CONTROL!$C$22, $C$13, 100%, $E$13)</f>
        <v>16.520399999999999</v>
      </c>
    </row>
    <row r="889" spans="1:11" ht="15">
      <c r="A889" s="13">
        <v>68912</v>
      </c>
      <c r="B889" s="60">
        <f>13.6336 * CHOOSE(CONTROL!$C$22, $C$13, 100%, $E$13)</f>
        <v>13.633599999999999</v>
      </c>
      <c r="C889" s="60">
        <f>13.6336 * CHOOSE(CONTROL!$C$22, $C$13, 100%, $E$13)</f>
        <v>13.633599999999999</v>
      </c>
      <c r="D889" s="60">
        <f>13.6712 * CHOOSE(CONTROL!$C$22, $C$13, 100%, $E$13)</f>
        <v>13.671200000000001</v>
      </c>
      <c r="E889" s="61">
        <f>16.4872 * CHOOSE(CONTROL!$C$22, $C$13, 100%, $E$13)</f>
        <v>16.487200000000001</v>
      </c>
      <c r="F889" s="61">
        <f>16.4872 * CHOOSE(CONTROL!$C$22, $C$13, 100%, $E$13)</f>
        <v>16.487200000000001</v>
      </c>
      <c r="G889" s="61">
        <f>16.4895 * CHOOSE(CONTROL!$C$22, $C$13, 100%, $E$13)</f>
        <v>16.4895</v>
      </c>
      <c r="H889" s="61">
        <f>27.1633* CHOOSE(CONTROL!$C$22, $C$13, 100%, $E$13)</f>
        <v>27.1633</v>
      </c>
      <c r="I889" s="61">
        <f>27.1656 * CHOOSE(CONTROL!$C$22, $C$13, 100%, $E$13)</f>
        <v>27.165600000000001</v>
      </c>
      <c r="J889" s="61">
        <f>15.9347 * CHOOSE(CONTROL!$C$22, $C$13, 100%, $E$13)</f>
        <v>15.934699999999999</v>
      </c>
      <c r="K889" s="61">
        <f>16.4895 * CHOOSE(CONTROL!$C$22, $C$13, 100%, $E$13)</f>
        <v>16.4895</v>
      </c>
    </row>
    <row r="890" spans="1:11" ht="15">
      <c r="A890" s="13">
        <v>68942</v>
      </c>
      <c r="B890" s="60">
        <f>13.6653 * CHOOSE(CONTROL!$C$22, $C$13, 100%, $E$13)</f>
        <v>13.6653</v>
      </c>
      <c r="C890" s="60">
        <f>13.6653 * CHOOSE(CONTROL!$C$22, $C$13, 100%, $E$13)</f>
        <v>13.6653</v>
      </c>
      <c r="D890" s="60">
        <f>13.6841 * CHOOSE(CONTROL!$C$22, $C$13, 100%, $E$13)</f>
        <v>13.684100000000001</v>
      </c>
      <c r="E890" s="61">
        <f>16.5889 * CHOOSE(CONTROL!$C$22, $C$13, 100%, $E$13)</f>
        <v>16.588899999999999</v>
      </c>
      <c r="F890" s="61">
        <f>16.5889 * CHOOSE(CONTROL!$C$22, $C$13, 100%, $E$13)</f>
        <v>16.588899999999999</v>
      </c>
      <c r="G890" s="61">
        <f>16.5891 * CHOOSE(CONTROL!$C$22, $C$13, 100%, $E$13)</f>
        <v>16.589099999999998</v>
      </c>
      <c r="H890" s="61">
        <f>27.2199* CHOOSE(CONTROL!$C$22, $C$13, 100%, $E$13)</f>
        <v>27.219899999999999</v>
      </c>
      <c r="I890" s="61">
        <f>27.2201 * CHOOSE(CONTROL!$C$22, $C$13, 100%, $E$13)</f>
        <v>27.220099999999999</v>
      </c>
      <c r="J890" s="61">
        <f>16.0318 * CHOOSE(CONTROL!$C$22, $C$13, 100%, $E$13)</f>
        <v>16.0318</v>
      </c>
      <c r="K890" s="61">
        <f>16.5891 * CHOOSE(CONTROL!$C$22, $C$13, 100%, $E$13)</f>
        <v>16.589099999999998</v>
      </c>
    </row>
    <row r="891" spans="1:11" ht="15">
      <c r="A891" s="13">
        <v>68973</v>
      </c>
      <c r="B891" s="60">
        <f>13.6683 * CHOOSE(CONTROL!$C$22, $C$13, 100%, $E$13)</f>
        <v>13.6683</v>
      </c>
      <c r="C891" s="60">
        <f>13.6683 * CHOOSE(CONTROL!$C$22, $C$13, 100%, $E$13)</f>
        <v>13.6683</v>
      </c>
      <c r="D891" s="60">
        <f>13.6871 * CHOOSE(CONTROL!$C$22, $C$13, 100%, $E$13)</f>
        <v>13.687099999999999</v>
      </c>
      <c r="E891" s="61">
        <f>16.6486 * CHOOSE(CONTROL!$C$22, $C$13, 100%, $E$13)</f>
        <v>16.648599999999998</v>
      </c>
      <c r="F891" s="61">
        <f>16.6486 * CHOOSE(CONTROL!$C$22, $C$13, 100%, $E$13)</f>
        <v>16.648599999999998</v>
      </c>
      <c r="G891" s="61">
        <f>16.6488 * CHOOSE(CONTROL!$C$22, $C$13, 100%, $E$13)</f>
        <v>16.648800000000001</v>
      </c>
      <c r="H891" s="61">
        <f>27.2766* CHOOSE(CONTROL!$C$22, $C$13, 100%, $E$13)</f>
        <v>27.276599999999998</v>
      </c>
      <c r="I891" s="61">
        <f>27.2768 * CHOOSE(CONTROL!$C$22, $C$13, 100%, $E$13)</f>
        <v>27.276800000000001</v>
      </c>
      <c r="J891" s="61">
        <f>16.0892 * CHOOSE(CONTROL!$C$22, $C$13, 100%, $E$13)</f>
        <v>16.089200000000002</v>
      </c>
      <c r="K891" s="61">
        <f>16.6488 * CHOOSE(CONTROL!$C$22, $C$13, 100%, $E$13)</f>
        <v>16.648800000000001</v>
      </c>
    </row>
    <row r="892" spans="1:11" ht="15">
      <c r="A892" s="13">
        <v>69003</v>
      </c>
      <c r="B892" s="60">
        <f>13.6683 * CHOOSE(CONTROL!$C$22, $C$13, 100%, $E$13)</f>
        <v>13.6683</v>
      </c>
      <c r="C892" s="60">
        <f>13.6683 * CHOOSE(CONTROL!$C$22, $C$13, 100%, $E$13)</f>
        <v>13.6683</v>
      </c>
      <c r="D892" s="60">
        <f>13.6871 * CHOOSE(CONTROL!$C$22, $C$13, 100%, $E$13)</f>
        <v>13.687099999999999</v>
      </c>
      <c r="E892" s="61">
        <f>16.5047 * CHOOSE(CONTROL!$C$22, $C$13, 100%, $E$13)</f>
        <v>16.5047</v>
      </c>
      <c r="F892" s="61">
        <f>16.5047 * CHOOSE(CONTROL!$C$22, $C$13, 100%, $E$13)</f>
        <v>16.5047</v>
      </c>
      <c r="G892" s="61">
        <f>16.5048 * CHOOSE(CONTROL!$C$22, $C$13, 100%, $E$13)</f>
        <v>16.504799999999999</v>
      </c>
      <c r="H892" s="61">
        <f>27.3335* CHOOSE(CONTROL!$C$22, $C$13, 100%, $E$13)</f>
        <v>27.333500000000001</v>
      </c>
      <c r="I892" s="61">
        <f>27.3336 * CHOOSE(CONTROL!$C$22, $C$13, 100%, $E$13)</f>
        <v>27.333600000000001</v>
      </c>
      <c r="J892" s="61">
        <f>15.951 * CHOOSE(CONTROL!$C$22, $C$13, 100%, $E$13)</f>
        <v>15.951000000000001</v>
      </c>
      <c r="K892" s="61">
        <f>16.5048 * CHOOSE(CONTROL!$C$22, $C$13, 100%, $E$13)</f>
        <v>16.504799999999999</v>
      </c>
    </row>
    <row r="893" spans="1:11" ht="15">
      <c r="A893" s="13">
        <v>69034</v>
      </c>
      <c r="B893" s="60">
        <f>13.6494 * CHOOSE(CONTROL!$C$22, $C$13, 100%, $E$13)</f>
        <v>13.6494</v>
      </c>
      <c r="C893" s="60">
        <f>13.6494 * CHOOSE(CONTROL!$C$22, $C$13, 100%, $E$13)</f>
        <v>13.6494</v>
      </c>
      <c r="D893" s="60">
        <f>13.6683 * CHOOSE(CONTROL!$C$22, $C$13, 100%, $E$13)</f>
        <v>13.6683</v>
      </c>
      <c r="E893" s="61">
        <f>16.5799 * CHOOSE(CONTROL!$C$22, $C$13, 100%, $E$13)</f>
        <v>16.579899999999999</v>
      </c>
      <c r="F893" s="61">
        <f>16.5799 * CHOOSE(CONTROL!$C$22, $C$13, 100%, $E$13)</f>
        <v>16.579899999999999</v>
      </c>
      <c r="G893" s="61">
        <f>16.5801 * CHOOSE(CONTROL!$C$22, $C$13, 100%, $E$13)</f>
        <v>16.580100000000002</v>
      </c>
      <c r="H893" s="61">
        <f>27.1163* CHOOSE(CONTROL!$C$22, $C$13, 100%, $E$13)</f>
        <v>27.116299999999999</v>
      </c>
      <c r="I893" s="61">
        <f>27.1165 * CHOOSE(CONTROL!$C$22, $C$13, 100%, $E$13)</f>
        <v>27.116499999999998</v>
      </c>
      <c r="J893" s="61">
        <f>16.0104 * CHOOSE(CONTROL!$C$22, $C$13, 100%, $E$13)</f>
        <v>16.010400000000001</v>
      </c>
      <c r="K893" s="61">
        <f>16.5801 * CHOOSE(CONTROL!$C$22, $C$13, 100%, $E$13)</f>
        <v>16.580100000000002</v>
      </c>
    </row>
    <row r="894" spans="1:11" ht="15">
      <c r="A894" s="13">
        <v>69065</v>
      </c>
      <c r="B894" s="60">
        <f>13.6464 * CHOOSE(CONTROL!$C$22, $C$13, 100%, $E$13)</f>
        <v>13.6464</v>
      </c>
      <c r="C894" s="60">
        <f>13.6464 * CHOOSE(CONTROL!$C$22, $C$13, 100%, $E$13)</f>
        <v>13.6464</v>
      </c>
      <c r="D894" s="60">
        <f>13.6652 * CHOOSE(CONTROL!$C$22, $C$13, 100%, $E$13)</f>
        <v>13.6652</v>
      </c>
      <c r="E894" s="61">
        <f>16.3008 * CHOOSE(CONTROL!$C$22, $C$13, 100%, $E$13)</f>
        <v>16.300799999999999</v>
      </c>
      <c r="F894" s="61">
        <f>16.3008 * CHOOSE(CONTROL!$C$22, $C$13, 100%, $E$13)</f>
        <v>16.300799999999999</v>
      </c>
      <c r="G894" s="61">
        <f>16.301 * CHOOSE(CONTROL!$C$22, $C$13, 100%, $E$13)</f>
        <v>16.300999999999998</v>
      </c>
      <c r="H894" s="61">
        <f>27.1728* CHOOSE(CONTROL!$C$22, $C$13, 100%, $E$13)</f>
        <v>27.172799999999999</v>
      </c>
      <c r="I894" s="61">
        <f>27.173 * CHOOSE(CONTROL!$C$22, $C$13, 100%, $E$13)</f>
        <v>27.172999999999998</v>
      </c>
      <c r="J894" s="61">
        <f>15.7427 * CHOOSE(CONTROL!$C$22, $C$13, 100%, $E$13)</f>
        <v>15.742699999999999</v>
      </c>
      <c r="K894" s="61">
        <f>16.301 * CHOOSE(CONTROL!$C$22, $C$13, 100%, $E$13)</f>
        <v>16.300999999999998</v>
      </c>
    </row>
    <row r="895" spans="1:11" ht="15">
      <c r="A895" s="13">
        <v>69093</v>
      </c>
      <c r="B895" s="60">
        <f>13.6434 * CHOOSE(CONTROL!$C$22, $C$13, 100%, $E$13)</f>
        <v>13.6434</v>
      </c>
      <c r="C895" s="60">
        <f>13.6434 * CHOOSE(CONTROL!$C$22, $C$13, 100%, $E$13)</f>
        <v>13.6434</v>
      </c>
      <c r="D895" s="60">
        <f>13.6622 * CHOOSE(CONTROL!$C$22, $C$13, 100%, $E$13)</f>
        <v>13.6622</v>
      </c>
      <c r="E895" s="61">
        <f>16.5171 * CHOOSE(CONTROL!$C$22, $C$13, 100%, $E$13)</f>
        <v>16.517099999999999</v>
      </c>
      <c r="F895" s="61">
        <f>16.5171 * CHOOSE(CONTROL!$C$22, $C$13, 100%, $E$13)</f>
        <v>16.517099999999999</v>
      </c>
      <c r="G895" s="61">
        <f>16.5173 * CHOOSE(CONTROL!$C$22, $C$13, 100%, $E$13)</f>
        <v>16.517299999999999</v>
      </c>
      <c r="H895" s="61">
        <f>27.2294* CHOOSE(CONTROL!$C$22, $C$13, 100%, $E$13)</f>
        <v>27.229399999999998</v>
      </c>
      <c r="I895" s="61">
        <f>27.2296 * CHOOSE(CONTROL!$C$22, $C$13, 100%, $E$13)</f>
        <v>27.229600000000001</v>
      </c>
      <c r="J895" s="61">
        <f>15.95 * CHOOSE(CONTROL!$C$22, $C$13, 100%, $E$13)</f>
        <v>15.95</v>
      </c>
      <c r="K895" s="61">
        <f>16.5173 * CHOOSE(CONTROL!$C$22, $C$13, 100%, $E$13)</f>
        <v>16.517299999999999</v>
      </c>
    </row>
    <row r="896" spans="1:11" ht="15">
      <c r="A896" s="13">
        <v>69124</v>
      </c>
      <c r="B896" s="60">
        <f>13.6505 * CHOOSE(CONTROL!$C$22, $C$13, 100%, $E$13)</f>
        <v>13.650499999999999</v>
      </c>
      <c r="C896" s="60">
        <f>13.6505 * CHOOSE(CONTROL!$C$22, $C$13, 100%, $E$13)</f>
        <v>13.650499999999999</v>
      </c>
      <c r="D896" s="60">
        <f>13.6694 * CHOOSE(CONTROL!$C$22, $C$13, 100%, $E$13)</f>
        <v>13.6694</v>
      </c>
      <c r="E896" s="61">
        <f>16.7474 * CHOOSE(CONTROL!$C$22, $C$13, 100%, $E$13)</f>
        <v>16.747399999999999</v>
      </c>
      <c r="F896" s="61">
        <f>16.7474 * CHOOSE(CONTROL!$C$22, $C$13, 100%, $E$13)</f>
        <v>16.747399999999999</v>
      </c>
      <c r="G896" s="61">
        <f>16.7475 * CHOOSE(CONTROL!$C$22, $C$13, 100%, $E$13)</f>
        <v>16.747499999999999</v>
      </c>
      <c r="H896" s="61">
        <f>27.2861* CHOOSE(CONTROL!$C$22, $C$13, 100%, $E$13)</f>
        <v>27.286100000000001</v>
      </c>
      <c r="I896" s="61">
        <f>27.2863 * CHOOSE(CONTROL!$C$22, $C$13, 100%, $E$13)</f>
        <v>27.286300000000001</v>
      </c>
      <c r="J896" s="61">
        <f>16.1706 * CHOOSE(CONTROL!$C$22, $C$13, 100%, $E$13)</f>
        <v>16.1706</v>
      </c>
      <c r="K896" s="61">
        <f>16.7475 * CHOOSE(CONTROL!$C$22, $C$13, 100%, $E$13)</f>
        <v>16.747499999999999</v>
      </c>
    </row>
    <row r="897" spans="1:11" ht="15">
      <c r="A897" s="13">
        <v>69154</v>
      </c>
      <c r="B897" s="60">
        <f>13.6505 * CHOOSE(CONTROL!$C$22, $C$13, 100%, $E$13)</f>
        <v>13.650499999999999</v>
      </c>
      <c r="C897" s="60">
        <f>13.6505 * CHOOSE(CONTROL!$C$22, $C$13, 100%, $E$13)</f>
        <v>13.650499999999999</v>
      </c>
      <c r="D897" s="60">
        <f>13.6882 * CHOOSE(CONTROL!$C$22, $C$13, 100%, $E$13)</f>
        <v>13.6882</v>
      </c>
      <c r="E897" s="61">
        <f>16.8353 * CHOOSE(CONTROL!$C$22, $C$13, 100%, $E$13)</f>
        <v>16.8353</v>
      </c>
      <c r="F897" s="61">
        <f>16.8353 * CHOOSE(CONTROL!$C$22, $C$13, 100%, $E$13)</f>
        <v>16.8353</v>
      </c>
      <c r="G897" s="61">
        <f>16.8376 * CHOOSE(CONTROL!$C$22, $C$13, 100%, $E$13)</f>
        <v>16.837599999999998</v>
      </c>
      <c r="H897" s="61">
        <f>27.343* CHOOSE(CONTROL!$C$22, $C$13, 100%, $E$13)</f>
        <v>27.343</v>
      </c>
      <c r="I897" s="61">
        <f>27.3453 * CHOOSE(CONTROL!$C$22, $C$13, 100%, $E$13)</f>
        <v>27.345300000000002</v>
      </c>
      <c r="J897" s="61">
        <f>16.2549 * CHOOSE(CONTROL!$C$22, $C$13, 100%, $E$13)</f>
        <v>16.254899999999999</v>
      </c>
      <c r="K897" s="61">
        <f>16.8376 * CHOOSE(CONTROL!$C$22, $C$13, 100%, $E$13)</f>
        <v>16.837599999999998</v>
      </c>
    </row>
    <row r="898" spans="1:11" ht="15">
      <c r="A898" s="13">
        <v>69185</v>
      </c>
      <c r="B898" s="60">
        <f>13.6566 * CHOOSE(CONTROL!$C$22, $C$13, 100%, $E$13)</f>
        <v>13.656599999999999</v>
      </c>
      <c r="C898" s="60">
        <f>13.6566 * CHOOSE(CONTROL!$C$22, $C$13, 100%, $E$13)</f>
        <v>13.656599999999999</v>
      </c>
      <c r="D898" s="60">
        <f>13.6942 * CHOOSE(CONTROL!$C$22, $C$13, 100%, $E$13)</f>
        <v>13.6942</v>
      </c>
      <c r="E898" s="61">
        <f>16.7516 * CHOOSE(CONTROL!$C$22, $C$13, 100%, $E$13)</f>
        <v>16.7516</v>
      </c>
      <c r="F898" s="61">
        <f>16.7516 * CHOOSE(CONTROL!$C$22, $C$13, 100%, $E$13)</f>
        <v>16.7516</v>
      </c>
      <c r="G898" s="61">
        <f>16.7539 * CHOOSE(CONTROL!$C$22, $C$13, 100%, $E$13)</f>
        <v>16.753900000000002</v>
      </c>
      <c r="H898" s="61">
        <f>27.3999* CHOOSE(CONTROL!$C$22, $C$13, 100%, $E$13)</f>
        <v>27.399899999999999</v>
      </c>
      <c r="I898" s="61">
        <f>27.4022 * CHOOSE(CONTROL!$C$22, $C$13, 100%, $E$13)</f>
        <v>27.402200000000001</v>
      </c>
      <c r="J898" s="61">
        <f>16.1748 * CHOOSE(CONTROL!$C$22, $C$13, 100%, $E$13)</f>
        <v>16.174800000000001</v>
      </c>
      <c r="K898" s="61">
        <f>16.7539 * CHOOSE(CONTROL!$C$22, $C$13, 100%, $E$13)</f>
        <v>16.753900000000002</v>
      </c>
    </row>
    <row r="899" spans="1:11" ht="15">
      <c r="A899" s="13">
        <v>69215</v>
      </c>
      <c r="B899" s="60">
        <f>13.8448 * CHOOSE(CONTROL!$C$22, $C$13, 100%, $E$13)</f>
        <v>13.844799999999999</v>
      </c>
      <c r="C899" s="60">
        <f>13.8448 * CHOOSE(CONTROL!$C$22, $C$13, 100%, $E$13)</f>
        <v>13.844799999999999</v>
      </c>
      <c r="D899" s="60">
        <f>13.8825 * CHOOSE(CONTROL!$C$22, $C$13, 100%, $E$13)</f>
        <v>13.8825</v>
      </c>
      <c r="E899" s="61">
        <f>17.0543 * CHOOSE(CONTROL!$C$22, $C$13, 100%, $E$13)</f>
        <v>17.054300000000001</v>
      </c>
      <c r="F899" s="61">
        <f>17.0543 * CHOOSE(CONTROL!$C$22, $C$13, 100%, $E$13)</f>
        <v>17.054300000000001</v>
      </c>
      <c r="G899" s="61">
        <f>17.0566 * CHOOSE(CONTROL!$C$22, $C$13, 100%, $E$13)</f>
        <v>17.0566</v>
      </c>
      <c r="H899" s="61">
        <f>27.457* CHOOSE(CONTROL!$C$22, $C$13, 100%, $E$13)</f>
        <v>27.457000000000001</v>
      </c>
      <c r="I899" s="61">
        <f>27.4593 * CHOOSE(CONTROL!$C$22, $C$13, 100%, $E$13)</f>
        <v>27.459299999999999</v>
      </c>
      <c r="J899" s="61">
        <f>16.4676 * CHOOSE(CONTROL!$C$22, $C$13, 100%, $E$13)</f>
        <v>16.467600000000001</v>
      </c>
      <c r="K899" s="61">
        <f>17.0566 * CHOOSE(CONTROL!$C$22, $C$13, 100%, $E$13)</f>
        <v>17.0566</v>
      </c>
    </row>
    <row r="900" spans="1:11" ht="15">
      <c r="A900" s="13">
        <v>69246</v>
      </c>
      <c r="B900" s="60">
        <f>13.8515 * CHOOSE(CONTROL!$C$22, $C$13, 100%, $E$13)</f>
        <v>13.8515</v>
      </c>
      <c r="C900" s="60">
        <f>13.8515 * CHOOSE(CONTROL!$C$22, $C$13, 100%, $E$13)</f>
        <v>13.8515</v>
      </c>
      <c r="D900" s="60">
        <f>13.8891 * CHOOSE(CONTROL!$C$22, $C$13, 100%, $E$13)</f>
        <v>13.889099999999999</v>
      </c>
      <c r="E900" s="61">
        <f>16.7951 * CHOOSE(CONTROL!$C$22, $C$13, 100%, $E$13)</f>
        <v>16.795100000000001</v>
      </c>
      <c r="F900" s="61">
        <f>16.7951 * CHOOSE(CONTROL!$C$22, $C$13, 100%, $E$13)</f>
        <v>16.795100000000001</v>
      </c>
      <c r="G900" s="61">
        <f>16.7974 * CHOOSE(CONTROL!$C$22, $C$13, 100%, $E$13)</f>
        <v>16.7974</v>
      </c>
      <c r="H900" s="61">
        <f>27.5142* CHOOSE(CONTROL!$C$22, $C$13, 100%, $E$13)</f>
        <v>27.514199999999999</v>
      </c>
      <c r="I900" s="61">
        <f>27.5165 * CHOOSE(CONTROL!$C$22, $C$13, 100%, $E$13)</f>
        <v>27.516500000000001</v>
      </c>
      <c r="J900" s="61">
        <f>16.2193 * CHOOSE(CONTROL!$C$22, $C$13, 100%, $E$13)</f>
        <v>16.2193</v>
      </c>
      <c r="K900" s="61">
        <f>16.7974 * CHOOSE(CONTROL!$C$22, $C$13, 100%, $E$13)</f>
        <v>16.7974</v>
      </c>
    </row>
    <row r="901" spans="1:11" ht="15">
      <c r="A901" s="13">
        <v>69277</v>
      </c>
      <c r="B901" s="60">
        <f>13.8485 * CHOOSE(CONTROL!$C$22, $C$13, 100%, $E$13)</f>
        <v>13.8485</v>
      </c>
      <c r="C901" s="60">
        <f>13.8485 * CHOOSE(CONTROL!$C$22, $C$13, 100%, $E$13)</f>
        <v>13.8485</v>
      </c>
      <c r="D901" s="60">
        <f>13.8861 * CHOOSE(CONTROL!$C$22, $C$13, 100%, $E$13)</f>
        <v>13.886100000000001</v>
      </c>
      <c r="E901" s="61">
        <f>16.7636 * CHOOSE(CONTROL!$C$22, $C$13, 100%, $E$13)</f>
        <v>16.7636</v>
      </c>
      <c r="F901" s="61">
        <f>16.7636 * CHOOSE(CONTROL!$C$22, $C$13, 100%, $E$13)</f>
        <v>16.7636</v>
      </c>
      <c r="G901" s="61">
        <f>16.766 * CHOOSE(CONTROL!$C$22, $C$13, 100%, $E$13)</f>
        <v>16.765999999999998</v>
      </c>
      <c r="H901" s="61">
        <f>27.5715* CHOOSE(CONTROL!$C$22, $C$13, 100%, $E$13)</f>
        <v>27.5715</v>
      </c>
      <c r="I901" s="61">
        <f>27.5738 * CHOOSE(CONTROL!$C$22, $C$13, 100%, $E$13)</f>
        <v>27.573799999999999</v>
      </c>
      <c r="J901" s="61">
        <f>16.1891 * CHOOSE(CONTROL!$C$22, $C$13, 100%, $E$13)</f>
        <v>16.1891</v>
      </c>
      <c r="K901" s="61">
        <f>16.766 * CHOOSE(CONTROL!$C$22, $C$13, 100%, $E$13)</f>
        <v>16.765999999999998</v>
      </c>
    </row>
    <row r="902" spans="1:11" ht="15">
      <c r="A902" s="13">
        <v>69307</v>
      </c>
      <c r="B902" s="60">
        <f>13.881 * CHOOSE(CONTROL!$C$22, $C$13, 100%, $E$13)</f>
        <v>13.881</v>
      </c>
      <c r="C902" s="60">
        <f>13.881 * CHOOSE(CONTROL!$C$22, $C$13, 100%, $E$13)</f>
        <v>13.881</v>
      </c>
      <c r="D902" s="60">
        <f>13.8998 * CHOOSE(CONTROL!$C$22, $C$13, 100%, $E$13)</f>
        <v>13.899800000000001</v>
      </c>
      <c r="E902" s="61">
        <f>16.8675 * CHOOSE(CONTROL!$C$22, $C$13, 100%, $E$13)</f>
        <v>16.8675</v>
      </c>
      <c r="F902" s="61">
        <f>16.8675 * CHOOSE(CONTROL!$C$22, $C$13, 100%, $E$13)</f>
        <v>16.8675</v>
      </c>
      <c r="G902" s="61">
        <f>16.8677 * CHOOSE(CONTROL!$C$22, $C$13, 100%, $E$13)</f>
        <v>16.867699999999999</v>
      </c>
      <c r="H902" s="61">
        <f>27.629* CHOOSE(CONTROL!$C$22, $C$13, 100%, $E$13)</f>
        <v>27.629000000000001</v>
      </c>
      <c r="I902" s="61">
        <f>27.6291 * CHOOSE(CONTROL!$C$22, $C$13, 100%, $E$13)</f>
        <v>27.629100000000001</v>
      </c>
      <c r="J902" s="61">
        <f>16.2881 * CHOOSE(CONTROL!$C$22, $C$13, 100%, $E$13)</f>
        <v>16.2881</v>
      </c>
      <c r="K902" s="61">
        <f>16.8677 * CHOOSE(CONTROL!$C$22, $C$13, 100%, $E$13)</f>
        <v>16.867699999999999</v>
      </c>
    </row>
    <row r="903" spans="1:11" ht="15">
      <c r="A903" s="13">
        <v>69338</v>
      </c>
      <c r="B903" s="60">
        <f>13.884 * CHOOSE(CONTROL!$C$22, $C$13, 100%, $E$13)</f>
        <v>13.884</v>
      </c>
      <c r="C903" s="60">
        <f>13.884 * CHOOSE(CONTROL!$C$22, $C$13, 100%, $E$13)</f>
        <v>13.884</v>
      </c>
      <c r="D903" s="60">
        <f>13.9028 * CHOOSE(CONTROL!$C$22, $C$13, 100%, $E$13)</f>
        <v>13.902799999999999</v>
      </c>
      <c r="E903" s="61">
        <f>16.9282 * CHOOSE(CONTROL!$C$22, $C$13, 100%, $E$13)</f>
        <v>16.9282</v>
      </c>
      <c r="F903" s="61">
        <f>16.9282 * CHOOSE(CONTROL!$C$22, $C$13, 100%, $E$13)</f>
        <v>16.9282</v>
      </c>
      <c r="G903" s="61">
        <f>16.9284 * CHOOSE(CONTROL!$C$22, $C$13, 100%, $E$13)</f>
        <v>16.9284</v>
      </c>
      <c r="H903" s="61">
        <f>27.6865* CHOOSE(CONTROL!$C$22, $C$13, 100%, $E$13)</f>
        <v>27.686499999999999</v>
      </c>
      <c r="I903" s="61">
        <f>27.6867 * CHOOSE(CONTROL!$C$22, $C$13, 100%, $E$13)</f>
        <v>27.686699999999998</v>
      </c>
      <c r="J903" s="61">
        <f>16.3464 * CHOOSE(CONTROL!$C$22, $C$13, 100%, $E$13)</f>
        <v>16.346399999999999</v>
      </c>
      <c r="K903" s="61">
        <f>16.9284 * CHOOSE(CONTROL!$C$22, $C$13, 100%, $E$13)</f>
        <v>16.9284</v>
      </c>
    </row>
    <row r="904" spans="1:11" ht="15">
      <c r="A904" s="13">
        <v>69368</v>
      </c>
      <c r="B904" s="60">
        <f>13.884 * CHOOSE(CONTROL!$C$22, $C$13, 100%, $E$13)</f>
        <v>13.884</v>
      </c>
      <c r="C904" s="60">
        <f>13.884 * CHOOSE(CONTROL!$C$22, $C$13, 100%, $E$13)</f>
        <v>13.884</v>
      </c>
      <c r="D904" s="60">
        <f>13.9028 * CHOOSE(CONTROL!$C$22, $C$13, 100%, $E$13)</f>
        <v>13.902799999999999</v>
      </c>
      <c r="E904" s="61">
        <f>16.7817 * CHOOSE(CONTROL!$C$22, $C$13, 100%, $E$13)</f>
        <v>16.781700000000001</v>
      </c>
      <c r="F904" s="61">
        <f>16.7817 * CHOOSE(CONTROL!$C$22, $C$13, 100%, $E$13)</f>
        <v>16.781700000000001</v>
      </c>
      <c r="G904" s="61">
        <f>16.7818 * CHOOSE(CONTROL!$C$22, $C$13, 100%, $E$13)</f>
        <v>16.7818</v>
      </c>
      <c r="H904" s="61">
        <f>27.7442* CHOOSE(CONTROL!$C$22, $C$13, 100%, $E$13)</f>
        <v>27.744199999999999</v>
      </c>
      <c r="I904" s="61">
        <f>27.7444 * CHOOSE(CONTROL!$C$22, $C$13, 100%, $E$13)</f>
        <v>27.744399999999999</v>
      </c>
      <c r="J904" s="61">
        <f>16.2059 * CHOOSE(CONTROL!$C$22, $C$13, 100%, $E$13)</f>
        <v>16.2059</v>
      </c>
      <c r="K904" s="61">
        <f>16.7818 * CHOOSE(CONTROL!$C$22, $C$13, 100%, $E$13)</f>
        <v>16.7818</v>
      </c>
    </row>
    <row r="905" spans="1:11" ht="15">
      <c r="A905" s="13">
        <v>69399</v>
      </c>
      <c r="B905" s="60">
        <f>13.8615 * CHOOSE(CONTROL!$C$22, $C$13, 100%, $E$13)</f>
        <v>13.861499999999999</v>
      </c>
      <c r="C905" s="60">
        <f>13.8615 * CHOOSE(CONTROL!$C$22, $C$13, 100%, $E$13)</f>
        <v>13.861499999999999</v>
      </c>
      <c r="D905" s="60">
        <f>13.8803 * CHOOSE(CONTROL!$C$22, $C$13, 100%, $E$13)</f>
        <v>13.8803</v>
      </c>
      <c r="E905" s="61">
        <f>16.8537 * CHOOSE(CONTROL!$C$22, $C$13, 100%, $E$13)</f>
        <v>16.8537</v>
      </c>
      <c r="F905" s="61">
        <f>16.8537 * CHOOSE(CONTROL!$C$22, $C$13, 100%, $E$13)</f>
        <v>16.8537</v>
      </c>
      <c r="G905" s="61">
        <f>16.8539 * CHOOSE(CONTROL!$C$22, $C$13, 100%, $E$13)</f>
        <v>16.853899999999999</v>
      </c>
      <c r="H905" s="61">
        <f>27.5177* CHOOSE(CONTROL!$C$22, $C$13, 100%, $E$13)</f>
        <v>27.517700000000001</v>
      </c>
      <c r="I905" s="61">
        <f>27.5179 * CHOOSE(CONTROL!$C$22, $C$13, 100%, $E$13)</f>
        <v>27.517900000000001</v>
      </c>
      <c r="J905" s="61">
        <f>16.2622 * CHOOSE(CONTROL!$C$22, $C$13, 100%, $E$13)</f>
        <v>16.2622</v>
      </c>
      <c r="K905" s="61">
        <f>16.8539 * CHOOSE(CONTROL!$C$22, $C$13, 100%, $E$13)</f>
        <v>16.853899999999999</v>
      </c>
    </row>
    <row r="906" spans="1:11" ht="15">
      <c r="A906" s="13">
        <v>69430</v>
      </c>
      <c r="B906" s="60">
        <f>13.8584 * CHOOSE(CONTROL!$C$22, $C$13, 100%, $E$13)</f>
        <v>13.8584</v>
      </c>
      <c r="C906" s="60">
        <f>13.8584 * CHOOSE(CONTROL!$C$22, $C$13, 100%, $E$13)</f>
        <v>13.8584</v>
      </c>
      <c r="D906" s="60">
        <f>13.8772 * CHOOSE(CONTROL!$C$22, $C$13, 100%, $E$13)</f>
        <v>13.8772</v>
      </c>
      <c r="E906" s="61">
        <f>16.5697 * CHOOSE(CONTROL!$C$22, $C$13, 100%, $E$13)</f>
        <v>16.569700000000001</v>
      </c>
      <c r="F906" s="61">
        <f>16.5697 * CHOOSE(CONTROL!$C$22, $C$13, 100%, $E$13)</f>
        <v>16.569700000000001</v>
      </c>
      <c r="G906" s="61">
        <f>16.5698 * CHOOSE(CONTROL!$C$22, $C$13, 100%, $E$13)</f>
        <v>16.569800000000001</v>
      </c>
      <c r="H906" s="61">
        <f>27.5751* CHOOSE(CONTROL!$C$22, $C$13, 100%, $E$13)</f>
        <v>27.575099999999999</v>
      </c>
      <c r="I906" s="61">
        <f>27.5753 * CHOOSE(CONTROL!$C$22, $C$13, 100%, $E$13)</f>
        <v>27.575299999999999</v>
      </c>
      <c r="J906" s="61">
        <f>15.9901 * CHOOSE(CONTROL!$C$22, $C$13, 100%, $E$13)</f>
        <v>15.9901</v>
      </c>
      <c r="K906" s="61">
        <f>16.5698 * CHOOSE(CONTROL!$C$22, $C$13, 100%, $E$13)</f>
        <v>16.569800000000001</v>
      </c>
    </row>
    <row r="907" spans="1:11" ht="15">
      <c r="A907" s="13">
        <v>69458</v>
      </c>
      <c r="B907" s="60">
        <f>13.8554 * CHOOSE(CONTROL!$C$22, $C$13, 100%, $E$13)</f>
        <v>13.855399999999999</v>
      </c>
      <c r="C907" s="60">
        <f>13.8554 * CHOOSE(CONTROL!$C$22, $C$13, 100%, $E$13)</f>
        <v>13.855399999999999</v>
      </c>
      <c r="D907" s="60">
        <f>13.8742 * CHOOSE(CONTROL!$C$22, $C$13, 100%, $E$13)</f>
        <v>13.8742</v>
      </c>
      <c r="E907" s="61">
        <f>16.7898 * CHOOSE(CONTROL!$C$22, $C$13, 100%, $E$13)</f>
        <v>16.7898</v>
      </c>
      <c r="F907" s="61">
        <f>16.7898 * CHOOSE(CONTROL!$C$22, $C$13, 100%, $E$13)</f>
        <v>16.7898</v>
      </c>
      <c r="G907" s="61">
        <f>16.79 * CHOOSE(CONTROL!$C$22, $C$13, 100%, $E$13)</f>
        <v>16.79</v>
      </c>
      <c r="H907" s="61">
        <f>27.6325* CHOOSE(CONTROL!$C$22, $C$13, 100%, $E$13)</f>
        <v>27.6325</v>
      </c>
      <c r="I907" s="61">
        <f>27.6327 * CHOOSE(CONTROL!$C$22, $C$13, 100%, $E$13)</f>
        <v>27.6327</v>
      </c>
      <c r="J907" s="61">
        <f>16.2009 * CHOOSE(CONTROL!$C$22, $C$13, 100%, $E$13)</f>
        <v>16.200900000000001</v>
      </c>
      <c r="K907" s="61">
        <f>16.79 * CHOOSE(CONTROL!$C$22, $C$13, 100%, $E$13)</f>
        <v>16.79</v>
      </c>
    </row>
    <row r="908" spans="1:11" ht="15">
      <c r="A908" s="13">
        <v>69489</v>
      </c>
      <c r="B908" s="60">
        <f>13.8628 * CHOOSE(CONTROL!$C$22, $C$13, 100%, $E$13)</f>
        <v>13.8628</v>
      </c>
      <c r="C908" s="60">
        <f>13.8628 * CHOOSE(CONTROL!$C$22, $C$13, 100%, $E$13)</f>
        <v>13.8628</v>
      </c>
      <c r="D908" s="60">
        <f>13.8816 * CHOOSE(CONTROL!$C$22, $C$13, 100%, $E$13)</f>
        <v>13.881600000000001</v>
      </c>
      <c r="E908" s="61">
        <f>17.0242 * CHOOSE(CONTROL!$C$22, $C$13, 100%, $E$13)</f>
        <v>17.0242</v>
      </c>
      <c r="F908" s="61">
        <f>17.0242 * CHOOSE(CONTROL!$C$22, $C$13, 100%, $E$13)</f>
        <v>17.0242</v>
      </c>
      <c r="G908" s="61">
        <f>17.0244 * CHOOSE(CONTROL!$C$22, $C$13, 100%, $E$13)</f>
        <v>17.0244</v>
      </c>
      <c r="H908" s="61">
        <f>27.6901* CHOOSE(CONTROL!$C$22, $C$13, 100%, $E$13)</f>
        <v>27.690100000000001</v>
      </c>
      <c r="I908" s="61">
        <f>27.6903 * CHOOSE(CONTROL!$C$22, $C$13, 100%, $E$13)</f>
        <v>27.690300000000001</v>
      </c>
      <c r="J908" s="61">
        <f>16.4252 * CHOOSE(CONTROL!$C$22, $C$13, 100%, $E$13)</f>
        <v>16.4252</v>
      </c>
      <c r="K908" s="61">
        <f>17.0244 * CHOOSE(CONTROL!$C$22, $C$13, 100%, $E$13)</f>
        <v>17.0244</v>
      </c>
    </row>
    <row r="909" spans="1:11" ht="15">
      <c r="A909" s="13">
        <v>69519</v>
      </c>
      <c r="B909" s="60">
        <f>13.8628 * CHOOSE(CONTROL!$C$22, $C$13, 100%, $E$13)</f>
        <v>13.8628</v>
      </c>
      <c r="C909" s="60">
        <f>13.8628 * CHOOSE(CONTROL!$C$22, $C$13, 100%, $E$13)</f>
        <v>13.8628</v>
      </c>
      <c r="D909" s="60">
        <f>13.9004 * CHOOSE(CONTROL!$C$22, $C$13, 100%, $E$13)</f>
        <v>13.900399999999999</v>
      </c>
      <c r="E909" s="61">
        <f>17.1137 * CHOOSE(CONTROL!$C$22, $C$13, 100%, $E$13)</f>
        <v>17.113700000000001</v>
      </c>
      <c r="F909" s="61">
        <f>17.1137 * CHOOSE(CONTROL!$C$22, $C$13, 100%, $E$13)</f>
        <v>17.113700000000001</v>
      </c>
      <c r="G909" s="61">
        <f>17.1161 * CHOOSE(CONTROL!$C$22, $C$13, 100%, $E$13)</f>
        <v>17.116099999999999</v>
      </c>
      <c r="H909" s="61">
        <f>27.7478* CHOOSE(CONTROL!$C$22, $C$13, 100%, $E$13)</f>
        <v>27.747800000000002</v>
      </c>
      <c r="I909" s="61">
        <f>27.7501 * CHOOSE(CONTROL!$C$22, $C$13, 100%, $E$13)</f>
        <v>27.7501</v>
      </c>
      <c r="J909" s="61">
        <f>16.511 * CHOOSE(CONTROL!$C$22, $C$13, 100%, $E$13)</f>
        <v>16.510999999999999</v>
      </c>
      <c r="K909" s="61">
        <f>17.1161 * CHOOSE(CONTROL!$C$22, $C$13, 100%, $E$13)</f>
        <v>17.116099999999999</v>
      </c>
    </row>
    <row r="910" spans="1:11" ht="15">
      <c r="A910" s="13">
        <v>69550</v>
      </c>
      <c r="B910" s="60">
        <f>13.8688 * CHOOSE(CONTROL!$C$22, $C$13, 100%, $E$13)</f>
        <v>13.8688</v>
      </c>
      <c r="C910" s="60">
        <f>13.8688 * CHOOSE(CONTROL!$C$22, $C$13, 100%, $E$13)</f>
        <v>13.8688</v>
      </c>
      <c r="D910" s="60">
        <f>13.9065 * CHOOSE(CONTROL!$C$22, $C$13, 100%, $E$13)</f>
        <v>13.906499999999999</v>
      </c>
      <c r="E910" s="61">
        <f>17.0285 * CHOOSE(CONTROL!$C$22, $C$13, 100%, $E$13)</f>
        <v>17.028500000000001</v>
      </c>
      <c r="F910" s="61">
        <f>17.0285 * CHOOSE(CONTROL!$C$22, $C$13, 100%, $E$13)</f>
        <v>17.028500000000001</v>
      </c>
      <c r="G910" s="61">
        <f>17.0308 * CHOOSE(CONTROL!$C$22, $C$13, 100%, $E$13)</f>
        <v>17.030799999999999</v>
      </c>
      <c r="H910" s="61">
        <f>27.8056* CHOOSE(CONTROL!$C$22, $C$13, 100%, $E$13)</f>
        <v>27.805599999999998</v>
      </c>
      <c r="I910" s="61">
        <f>27.8079 * CHOOSE(CONTROL!$C$22, $C$13, 100%, $E$13)</f>
        <v>27.8079</v>
      </c>
      <c r="J910" s="61">
        <f>16.4295 * CHOOSE(CONTROL!$C$22, $C$13, 100%, $E$13)</f>
        <v>16.429500000000001</v>
      </c>
      <c r="K910" s="61">
        <f>17.0308 * CHOOSE(CONTROL!$C$22, $C$13, 100%, $E$13)</f>
        <v>17.030799999999999</v>
      </c>
    </row>
    <row r="911" spans="1:11" ht="15">
      <c r="A911" s="13">
        <v>69580</v>
      </c>
      <c r="B911" s="60">
        <f>14.0598 * CHOOSE(CONTROL!$C$22, $C$13, 100%, $E$13)</f>
        <v>14.059799999999999</v>
      </c>
      <c r="C911" s="60">
        <f>14.0598 * CHOOSE(CONTROL!$C$22, $C$13, 100%, $E$13)</f>
        <v>14.059799999999999</v>
      </c>
      <c r="D911" s="60">
        <f>14.0974 * CHOOSE(CONTROL!$C$22, $C$13, 100%, $E$13)</f>
        <v>14.0974</v>
      </c>
      <c r="E911" s="61">
        <f>17.3359 * CHOOSE(CONTROL!$C$22, $C$13, 100%, $E$13)</f>
        <v>17.335899999999999</v>
      </c>
      <c r="F911" s="61">
        <f>17.3359 * CHOOSE(CONTROL!$C$22, $C$13, 100%, $E$13)</f>
        <v>17.335899999999999</v>
      </c>
      <c r="G911" s="61">
        <f>17.3383 * CHOOSE(CONTROL!$C$22, $C$13, 100%, $E$13)</f>
        <v>17.3383</v>
      </c>
      <c r="H911" s="61">
        <f>27.8635* CHOOSE(CONTROL!$C$22, $C$13, 100%, $E$13)</f>
        <v>27.863499999999998</v>
      </c>
      <c r="I911" s="61">
        <f>27.8658 * CHOOSE(CONTROL!$C$22, $C$13, 100%, $E$13)</f>
        <v>27.8658</v>
      </c>
      <c r="J911" s="61">
        <f>16.7267 * CHOOSE(CONTROL!$C$22, $C$13, 100%, $E$13)</f>
        <v>16.726700000000001</v>
      </c>
      <c r="K911" s="61">
        <f>17.3383 * CHOOSE(CONTROL!$C$22, $C$13, 100%, $E$13)</f>
        <v>17.3383</v>
      </c>
    </row>
    <row r="912" spans="1:11" ht="15">
      <c r="A912" s="13">
        <v>69611</v>
      </c>
      <c r="B912" s="60">
        <f>14.0664 * CHOOSE(CONTROL!$C$22, $C$13, 100%, $E$13)</f>
        <v>14.0664</v>
      </c>
      <c r="C912" s="60">
        <f>14.0664 * CHOOSE(CONTROL!$C$22, $C$13, 100%, $E$13)</f>
        <v>14.0664</v>
      </c>
      <c r="D912" s="60">
        <f>14.1041 * CHOOSE(CONTROL!$C$22, $C$13, 100%, $E$13)</f>
        <v>14.104100000000001</v>
      </c>
      <c r="E912" s="61">
        <f>17.0721 * CHOOSE(CONTROL!$C$22, $C$13, 100%, $E$13)</f>
        <v>17.072099999999999</v>
      </c>
      <c r="F912" s="61">
        <f>17.0721 * CHOOSE(CONTROL!$C$22, $C$13, 100%, $E$13)</f>
        <v>17.072099999999999</v>
      </c>
      <c r="G912" s="61">
        <f>17.0744 * CHOOSE(CONTROL!$C$22, $C$13, 100%, $E$13)</f>
        <v>17.074400000000001</v>
      </c>
      <c r="H912" s="61">
        <f>27.9216* CHOOSE(CONTROL!$C$22, $C$13, 100%, $E$13)</f>
        <v>27.921600000000002</v>
      </c>
      <c r="I912" s="61">
        <f>27.9239 * CHOOSE(CONTROL!$C$22, $C$13, 100%, $E$13)</f>
        <v>27.9239</v>
      </c>
      <c r="J912" s="61">
        <f>16.4741 * CHOOSE(CONTROL!$C$22, $C$13, 100%, $E$13)</f>
        <v>16.4741</v>
      </c>
      <c r="K912" s="61">
        <f>17.0744 * CHOOSE(CONTROL!$C$22, $C$13, 100%, $E$13)</f>
        <v>17.074400000000001</v>
      </c>
    </row>
    <row r="913" spans="1:11" ht="15">
      <c r="A913" s="13">
        <v>69642</v>
      </c>
      <c r="B913" s="60">
        <f>14.0634 * CHOOSE(CONTROL!$C$22, $C$13, 100%, $E$13)</f>
        <v>14.0634</v>
      </c>
      <c r="C913" s="60">
        <f>14.0634 * CHOOSE(CONTROL!$C$22, $C$13, 100%, $E$13)</f>
        <v>14.0634</v>
      </c>
      <c r="D913" s="60">
        <f>14.101 * CHOOSE(CONTROL!$C$22, $C$13, 100%, $E$13)</f>
        <v>14.101000000000001</v>
      </c>
      <c r="E913" s="61">
        <f>17.0401 * CHOOSE(CONTROL!$C$22, $C$13, 100%, $E$13)</f>
        <v>17.040099999999999</v>
      </c>
      <c r="F913" s="61">
        <f>17.0401 * CHOOSE(CONTROL!$C$22, $C$13, 100%, $E$13)</f>
        <v>17.040099999999999</v>
      </c>
      <c r="G913" s="61">
        <f>17.0424 * CHOOSE(CONTROL!$C$22, $C$13, 100%, $E$13)</f>
        <v>17.042400000000001</v>
      </c>
      <c r="H913" s="61">
        <f>27.9797* CHOOSE(CONTROL!$C$22, $C$13, 100%, $E$13)</f>
        <v>27.979700000000001</v>
      </c>
      <c r="I913" s="61">
        <f>27.982 * CHOOSE(CONTROL!$C$22, $C$13, 100%, $E$13)</f>
        <v>27.981999999999999</v>
      </c>
      <c r="J913" s="61">
        <f>16.4434 * CHOOSE(CONTROL!$C$22, $C$13, 100%, $E$13)</f>
        <v>16.4434</v>
      </c>
      <c r="K913" s="61">
        <f>17.0424 * CHOOSE(CONTROL!$C$22, $C$13, 100%, $E$13)</f>
        <v>17.042400000000001</v>
      </c>
    </row>
    <row r="914" spans="1:11" ht="15">
      <c r="A914" s="13">
        <v>69672</v>
      </c>
      <c r="B914" s="60">
        <f>14.0967 * CHOOSE(CONTROL!$C$22, $C$13, 100%, $E$13)</f>
        <v>14.0967</v>
      </c>
      <c r="C914" s="60">
        <f>14.0967 * CHOOSE(CONTROL!$C$22, $C$13, 100%, $E$13)</f>
        <v>14.0967</v>
      </c>
      <c r="D914" s="60">
        <f>14.1155 * CHOOSE(CONTROL!$C$22, $C$13, 100%, $E$13)</f>
        <v>14.115500000000001</v>
      </c>
      <c r="E914" s="61">
        <f>17.1461 * CHOOSE(CONTROL!$C$22, $C$13, 100%, $E$13)</f>
        <v>17.146100000000001</v>
      </c>
      <c r="F914" s="61">
        <f>17.1461 * CHOOSE(CONTROL!$C$22, $C$13, 100%, $E$13)</f>
        <v>17.146100000000001</v>
      </c>
      <c r="G914" s="61">
        <f>17.1462 * CHOOSE(CONTROL!$C$22, $C$13, 100%, $E$13)</f>
        <v>17.1462</v>
      </c>
      <c r="H914" s="61">
        <f>28.038* CHOOSE(CONTROL!$C$22, $C$13, 100%, $E$13)</f>
        <v>28.038</v>
      </c>
      <c r="I914" s="61">
        <f>28.0382 * CHOOSE(CONTROL!$C$22, $C$13, 100%, $E$13)</f>
        <v>28.0382</v>
      </c>
      <c r="J914" s="61">
        <f>16.5443 * CHOOSE(CONTROL!$C$22, $C$13, 100%, $E$13)</f>
        <v>16.5443</v>
      </c>
      <c r="K914" s="61">
        <f>17.1462 * CHOOSE(CONTROL!$C$22, $C$13, 100%, $E$13)</f>
        <v>17.1462</v>
      </c>
    </row>
    <row r="915" spans="1:11" ht="15">
      <c r="A915" s="13">
        <v>69703</v>
      </c>
      <c r="B915" s="60">
        <f>14.0998 * CHOOSE(CONTROL!$C$22, $C$13, 100%, $E$13)</f>
        <v>14.0998</v>
      </c>
      <c r="C915" s="60">
        <f>14.0998 * CHOOSE(CONTROL!$C$22, $C$13, 100%, $E$13)</f>
        <v>14.0998</v>
      </c>
      <c r="D915" s="60">
        <f>14.1186 * CHOOSE(CONTROL!$C$22, $C$13, 100%, $E$13)</f>
        <v>14.118600000000001</v>
      </c>
      <c r="E915" s="61">
        <f>17.2078 * CHOOSE(CONTROL!$C$22, $C$13, 100%, $E$13)</f>
        <v>17.207799999999999</v>
      </c>
      <c r="F915" s="61">
        <f>17.2078 * CHOOSE(CONTROL!$C$22, $C$13, 100%, $E$13)</f>
        <v>17.207799999999999</v>
      </c>
      <c r="G915" s="61">
        <f>17.208 * CHOOSE(CONTROL!$C$22, $C$13, 100%, $E$13)</f>
        <v>17.207999999999998</v>
      </c>
      <c r="H915" s="61">
        <f>28.0964* CHOOSE(CONTROL!$C$22, $C$13, 100%, $E$13)</f>
        <v>28.096399999999999</v>
      </c>
      <c r="I915" s="61">
        <f>28.0966 * CHOOSE(CONTROL!$C$22, $C$13, 100%, $E$13)</f>
        <v>28.096599999999999</v>
      </c>
      <c r="J915" s="61">
        <f>16.6036 * CHOOSE(CONTROL!$C$22, $C$13, 100%, $E$13)</f>
        <v>16.6036</v>
      </c>
      <c r="K915" s="61">
        <f>17.208 * CHOOSE(CONTROL!$C$22, $C$13, 100%, $E$13)</f>
        <v>17.207999999999998</v>
      </c>
    </row>
    <row r="916" spans="1:11" ht="15">
      <c r="A916" s="13">
        <v>69733</v>
      </c>
      <c r="B916" s="60">
        <f>14.0998 * CHOOSE(CONTROL!$C$22, $C$13, 100%, $E$13)</f>
        <v>14.0998</v>
      </c>
      <c r="C916" s="60">
        <f>14.0998 * CHOOSE(CONTROL!$C$22, $C$13, 100%, $E$13)</f>
        <v>14.0998</v>
      </c>
      <c r="D916" s="60">
        <f>14.1186 * CHOOSE(CONTROL!$C$22, $C$13, 100%, $E$13)</f>
        <v>14.118600000000001</v>
      </c>
      <c r="E916" s="61">
        <f>17.0587 * CHOOSE(CONTROL!$C$22, $C$13, 100%, $E$13)</f>
        <v>17.058700000000002</v>
      </c>
      <c r="F916" s="61">
        <f>17.0587 * CHOOSE(CONTROL!$C$22, $C$13, 100%, $E$13)</f>
        <v>17.058700000000002</v>
      </c>
      <c r="G916" s="61">
        <f>17.0588 * CHOOSE(CONTROL!$C$22, $C$13, 100%, $E$13)</f>
        <v>17.058800000000002</v>
      </c>
      <c r="H916" s="61">
        <f>28.155* CHOOSE(CONTROL!$C$22, $C$13, 100%, $E$13)</f>
        <v>28.155000000000001</v>
      </c>
      <c r="I916" s="61">
        <f>28.1551 * CHOOSE(CONTROL!$C$22, $C$13, 100%, $E$13)</f>
        <v>28.155100000000001</v>
      </c>
      <c r="J916" s="61">
        <f>16.4607 * CHOOSE(CONTROL!$C$22, $C$13, 100%, $E$13)</f>
        <v>16.460699999999999</v>
      </c>
      <c r="K916" s="61">
        <f>17.0588 * CHOOSE(CONTROL!$C$22, $C$13, 100%, $E$13)</f>
        <v>17.058800000000002</v>
      </c>
    </row>
    <row r="917" spans="1:11" ht="15">
      <c r="A917" s="13">
        <v>69764</v>
      </c>
      <c r="B917" s="60">
        <f>14.0735 * CHOOSE(CONTROL!$C$22, $C$13, 100%, $E$13)</f>
        <v>14.073499999999999</v>
      </c>
      <c r="C917" s="60">
        <f>14.0735 * CHOOSE(CONTROL!$C$22, $C$13, 100%, $E$13)</f>
        <v>14.073499999999999</v>
      </c>
      <c r="D917" s="60">
        <f>14.0923 * CHOOSE(CONTROL!$C$22, $C$13, 100%, $E$13)</f>
        <v>14.0923</v>
      </c>
      <c r="E917" s="61">
        <f>17.1275 * CHOOSE(CONTROL!$C$22, $C$13, 100%, $E$13)</f>
        <v>17.127500000000001</v>
      </c>
      <c r="F917" s="61">
        <f>17.1275 * CHOOSE(CONTROL!$C$22, $C$13, 100%, $E$13)</f>
        <v>17.127500000000001</v>
      </c>
      <c r="G917" s="61">
        <f>17.1276 * CHOOSE(CONTROL!$C$22, $C$13, 100%, $E$13)</f>
        <v>17.127600000000001</v>
      </c>
      <c r="H917" s="61">
        <f>27.9192* CHOOSE(CONTROL!$C$22, $C$13, 100%, $E$13)</f>
        <v>27.9192</v>
      </c>
      <c r="I917" s="61">
        <f>27.9194 * CHOOSE(CONTROL!$C$22, $C$13, 100%, $E$13)</f>
        <v>27.9194</v>
      </c>
      <c r="J917" s="61">
        <f>16.5141 * CHOOSE(CONTROL!$C$22, $C$13, 100%, $E$13)</f>
        <v>16.514099999999999</v>
      </c>
      <c r="K917" s="61">
        <f>17.1276 * CHOOSE(CONTROL!$C$22, $C$13, 100%, $E$13)</f>
        <v>17.127600000000001</v>
      </c>
    </row>
    <row r="918" spans="1:11" ht="15">
      <c r="A918" s="13">
        <v>69795</v>
      </c>
      <c r="B918" s="60">
        <f>14.0704 * CHOOSE(CONTROL!$C$22, $C$13, 100%, $E$13)</f>
        <v>14.070399999999999</v>
      </c>
      <c r="C918" s="60">
        <f>14.0704 * CHOOSE(CONTROL!$C$22, $C$13, 100%, $E$13)</f>
        <v>14.070399999999999</v>
      </c>
      <c r="D918" s="60">
        <f>14.0892 * CHOOSE(CONTROL!$C$22, $C$13, 100%, $E$13)</f>
        <v>14.0892</v>
      </c>
      <c r="E918" s="61">
        <f>16.8385 * CHOOSE(CONTROL!$C$22, $C$13, 100%, $E$13)</f>
        <v>16.8385</v>
      </c>
      <c r="F918" s="61">
        <f>16.8385 * CHOOSE(CONTROL!$C$22, $C$13, 100%, $E$13)</f>
        <v>16.8385</v>
      </c>
      <c r="G918" s="61">
        <f>16.8387 * CHOOSE(CONTROL!$C$22, $C$13, 100%, $E$13)</f>
        <v>16.838699999999999</v>
      </c>
      <c r="H918" s="61">
        <f>27.9774* CHOOSE(CONTROL!$C$22, $C$13, 100%, $E$13)</f>
        <v>27.977399999999999</v>
      </c>
      <c r="I918" s="61">
        <f>27.9775 * CHOOSE(CONTROL!$C$22, $C$13, 100%, $E$13)</f>
        <v>27.977499999999999</v>
      </c>
      <c r="J918" s="61">
        <f>16.2375 * CHOOSE(CONTROL!$C$22, $C$13, 100%, $E$13)</f>
        <v>16.237500000000001</v>
      </c>
      <c r="K918" s="61">
        <f>16.8387 * CHOOSE(CONTROL!$C$22, $C$13, 100%, $E$13)</f>
        <v>16.838699999999999</v>
      </c>
    </row>
    <row r="919" spans="1:11" ht="15">
      <c r="A919" s="13">
        <v>69823</v>
      </c>
      <c r="B919" s="60">
        <f>14.0674 * CHOOSE(CONTROL!$C$22, $C$13, 100%, $E$13)</f>
        <v>14.067399999999999</v>
      </c>
      <c r="C919" s="60">
        <f>14.0674 * CHOOSE(CONTROL!$C$22, $C$13, 100%, $E$13)</f>
        <v>14.067399999999999</v>
      </c>
      <c r="D919" s="60">
        <f>14.0862 * CHOOSE(CONTROL!$C$22, $C$13, 100%, $E$13)</f>
        <v>14.0862</v>
      </c>
      <c r="E919" s="61">
        <f>17.0625 * CHOOSE(CONTROL!$C$22, $C$13, 100%, $E$13)</f>
        <v>17.0625</v>
      </c>
      <c r="F919" s="61">
        <f>17.0625 * CHOOSE(CONTROL!$C$22, $C$13, 100%, $E$13)</f>
        <v>17.0625</v>
      </c>
      <c r="G919" s="61">
        <f>17.0627 * CHOOSE(CONTROL!$C$22, $C$13, 100%, $E$13)</f>
        <v>17.0627</v>
      </c>
      <c r="H919" s="61">
        <f>28.0357* CHOOSE(CONTROL!$C$22, $C$13, 100%, $E$13)</f>
        <v>28.035699999999999</v>
      </c>
      <c r="I919" s="61">
        <f>28.0358 * CHOOSE(CONTROL!$C$22, $C$13, 100%, $E$13)</f>
        <v>28.035799999999998</v>
      </c>
      <c r="J919" s="61">
        <f>16.4517 * CHOOSE(CONTROL!$C$22, $C$13, 100%, $E$13)</f>
        <v>16.451699999999999</v>
      </c>
      <c r="K919" s="61">
        <f>17.0627 * CHOOSE(CONTROL!$C$22, $C$13, 100%, $E$13)</f>
        <v>17.0627</v>
      </c>
    </row>
    <row r="920" spans="1:11" ht="15">
      <c r="A920" s="13">
        <v>69854</v>
      </c>
      <c r="B920" s="60">
        <f>14.075 * CHOOSE(CONTROL!$C$22, $C$13, 100%, $E$13)</f>
        <v>14.074999999999999</v>
      </c>
      <c r="C920" s="60">
        <f>14.075 * CHOOSE(CONTROL!$C$22, $C$13, 100%, $E$13)</f>
        <v>14.074999999999999</v>
      </c>
      <c r="D920" s="60">
        <f>14.0938 * CHOOSE(CONTROL!$C$22, $C$13, 100%, $E$13)</f>
        <v>14.0938</v>
      </c>
      <c r="E920" s="61">
        <f>17.3011 * CHOOSE(CONTROL!$C$22, $C$13, 100%, $E$13)</f>
        <v>17.301100000000002</v>
      </c>
      <c r="F920" s="61">
        <f>17.3011 * CHOOSE(CONTROL!$C$22, $C$13, 100%, $E$13)</f>
        <v>17.301100000000002</v>
      </c>
      <c r="G920" s="61">
        <f>17.3013 * CHOOSE(CONTROL!$C$22, $C$13, 100%, $E$13)</f>
        <v>17.301300000000001</v>
      </c>
      <c r="H920" s="61">
        <f>28.0941* CHOOSE(CONTROL!$C$22, $C$13, 100%, $E$13)</f>
        <v>28.094100000000001</v>
      </c>
      <c r="I920" s="61">
        <f>28.0942 * CHOOSE(CONTROL!$C$22, $C$13, 100%, $E$13)</f>
        <v>28.094200000000001</v>
      </c>
      <c r="J920" s="61">
        <f>16.6799 * CHOOSE(CONTROL!$C$22, $C$13, 100%, $E$13)</f>
        <v>16.6799</v>
      </c>
      <c r="K920" s="61">
        <f>17.3013 * CHOOSE(CONTROL!$C$22, $C$13, 100%, $E$13)</f>
        <v>17.301300000000001</v>
      </c>
    </row>
    <row r="921" spans="1:11" ht="15">
      <c r="A921" s="13">
        <v>69884</v>
      </c>
      <c r="B921" s="60">
        <f>14.075 * CHOOSE(CONTROL!$C$22, $C$13, 100%, $E$13)</f>
        <v>14.074999999999999</v>
      </c>
      <c r="C921" s="60">
        <f>14.075 * CHOOSE(CONTROL!$C$22, $C$13, 100%, $E$13)</f>
        <v>14.074999999999999</v>
      </c>
      <c r="D921" s="60">
        <f>14.1126 * CHOOSE(CONTROL!$C$22, $C$13, 100%, $E$13)</f>
        <v>14.1126</v>
      </c>
      <c r="E921" s="61">
        <f>17.3922 * CHOOSE(CONTROL!$C$22, $C$13, 100%, $E$13)</f>
        <v>17.392199999999999</v>
      </c>
      <c r="F921" s="61">
        <f>17.3922 * CHOOSE(CONTROL!$C$22, $C$13, 100%, $E$13)</f>
        <v>17.392199999999999</v>
      </c>
      <c r="G921" s="61">
        <f>17.3945 * CHOOSE(CONTROL!$C$22, $C$13, 100%, $E$13)</f>
        <v>17.394500000000001</v>
      </c>
      <c r="H921" s="61">
        <f>28.1526* CHOOSE(CONTROL!$C$22, $C$13, 100%, $E$13)</f>
        <v>28.1526</v>
      </c>
      <c r="I921" s="61">
        <f>28.1549 * CHOOSE(CONTROL!$C$22, $C$13, 100%, $E$13)</f>
        <v>28.154900000000001</v>
      </c>
      <c r="J921" s="61">
        <f>16.7671 * CHOOSE(CONTROL!$C$22, $C$13, 100%, $E$13)</f>
        <v>16.767099999999999</v>
      </c>
      <c r="K921" s="61">
        <f>17.3945 * CHOOSE(CONTROL!$C$22, $C$13, 100%, $E$13)</f>
        <v>17.394500000000001</v>
      </c>
    </row>
    <row r="922" spans="1:11" ht="15">
      <c r="A922" s="13">
        <v>69915</v>
      </c>
      <c r="B922" s="60">
        <f>14.0811 * CHOOSE(CONTROL!$C$22, $C$13, 100%, $E$13)</f>
        <v>14.081099999999999</v>
      </c>
      <c r="C922" s="60">
        <f>14.0811 * CHOOSE(CONTROL!$C$22, $C$13, 100%, $E$13)</f>
        <v>14.081099999999999</v>
      </c>
      <c r="D922" s="60">
        <f>14.1187 * CHOOSE(CONTROL!$C$22, $C$13, 100%, $E$13)</f>
        <v>14.1187</v>
      </c>
      <c r="E922" s="61">
        <f>17.3054 * CHOOSE(CONTROL!$C$22, $C$13, 100%, $E$13)</f>
        <v>17.305399999999999</v>
      </c>
      <c r="F922" s="61">
        <f>17.3054 * CHOOSE(CONTROL!$C$22, $C$13, 100%, $E$13)</f>
        <v>17.305399999999999</v>
      </c>
      <c r="G922" s="61">
        <f>17.3077 * CHOOSE(CONTROL!$C$22, $C$13, 100%, $E$13)</f>
        <v>17.307700000000001</v>
      </c>
      <c r="H922" s="61">
        <f>28.2112* CHOOSE(CONTROL!$C$22, $C$13, 100%, $E$13)</f>
        <v>28.211200000000002</v>
      </c>
      <c r="I922" s="61">
        <f>28.2136 * CHOOSE(CONTROL!$C$22, $C$13, 100%, $E$13)</f>
        <v>28.2136</v>
      </c>
      <c r="J922" s="61">
        <f>16.6841 * CHOOSE(CONTROL!$C$22, $C$13, 100%, $E$13)</f>
        <v>16.684100000000001</v>
      </c>
      <c r="K922" s="61">
        <f>17.3077 * CHOOSE(CONTROL!$C$22, $C$13, 100%, $E$13)</f>
        <v>17.307700000000001</v>
      </c>
    </row>
    <row r="923" spans="1:11" ht="15">
      <c r="A923" s="13">
        <v>69945</v>
      </c>
      <c r="B923" s="60">
        <f>14.2747 * CHOOSE(CONTROL!$C$22, $C$13, 100%, $E$13)</f>
        <v>14.274699999999999</v>
      </c>
      <c r="C923" s="60">
        <f>14.2747 * CHOOSE(CONTROL!$C$22, $C$13, 100%, $E$13)</f>
        <v>14.274699999999999</v>
      </c>
      <c r="D923" s="60">
        <f>14.3123 * CHOOSE(CONTROL!$C$22, $C$13, 100%, $E$13)</f>
        <v>14.3123</v>
      </c>
      <c r="E923" s="61">
        <f>17.6176 * CHOOSE(CONTROL!$C$22, $C$13, 100%, $E$13)</f>
        <v>17.617599999999999</v>
      </c>
      <c r="F923" s="61">
        <f>17.6176 * CHOOSE(CONTROL!$C$22, $C$13, 100%, $E$13)</f>
        <v>17.617599999999999</v>
      </c>
      <c r="G923" s="61">
        <f>17.6199 * CHOOSE(CONTROL!$C$22, $C$13, 100%, $E$13)</f>
        <v>17.619900000000001</v>
      </c>
      <c r="H923" s="61">
        <f>28.27* CHOOSE(CONTROL!$C$22, $C$13, 100%, $E$13)</f>
        <v>28.27</v>
      </c>
      <c r="I923" s="61">
        <f>28.2723 * CHOOSE(CONTROL!$C$22, $C$13, 100%, $E$13)</f>
        <v>28.272300000000001</v>
      </c>
      <c r="J923" s="61">
        <f>16.9858 * CHOOSE(CONTROL!$C$22, $C$13, 100%, $E$13)</f>
        <v>16.985800000000001</v>
      </c>
      <c r="K923" s="61">
        <f>17.6199 * CHOOSE(CONTROL!$C$22, $C$13, 100%, $E$13)</f>
        <v>17.619900000000001</v>
      </c>
    </row>
    <row r="924" spans="1:11" ht="15">
      <c r="A924" s="13">
        <v>69976</v>
      </c>
      <c r="B924" s="60">
        <f>14.2814 * CHOOSE(CONTROL!$C$22, $C$13, 100%, $E$13)</f>
        <v>14.2814</v>
      </c>
      <c r="C924" s="60">
        <f>14.2814 * CHOOSE(CONTROL!$C$22, $C$13, 100%, $E$13)</f>
        <v>14.2814</v>
      </c>
      <c r="D924" s="60">
        <f>14.319 * CHOOSE(CONTROL!$C$22, $C$13, 100%, $E$13)</f>
        <v>14.319000000000001</v>
      </c>
      <c r="E924" s="61">
        <f>17.3491 * CHOOSE(CONTROL!$C$22, $C$13, 100%, $E$13)</f>
        <v>17.3491</v>
      </c>
      <c r="F924" s="61">
        <f>17.3491 * CHOOSE(CONTROL!$C$22, $C$13, 100%, $E$13)</f>
        <v>17.3491</v>
      </c>
      <c r="G924" s="61">
        <f>17.3514 * CHOOSE(CONTROL!$C$22, $C$13, 100%, $E$13)</f>
        <v>17.351400000000002</v>
      </c>
      <c r="H924" s="61">
        <f>28.3289* CHOOSE(CONTROL!$C$22, $C$13, 100%, $E$13)</f>
        <v>28.328900000000001</v>
      </c>
      <c r="I924" s="61">
        <f>28.3312 * CHOOSE(CONTROL!$C$22, $C$13, 100%, $E$13)</f>
        <v>28.331199999999999</v>
      </c>
      <c r="J924" s="61">
        <f>16.729 * CHOOSE(CONTROL!$C$22, $C$13, 100%, $E$13)</f>
        <v>16.728999999999999</v>
      </c>
      <c r="K924" s="61">
        <f>17.3514 * CHOOSE(CONTROL!$C$22, $C$13, 100%, $E$13)</f>
        <v>17.351400000000002</v>
      </c>
    </row>
    <row r="925" spans="1:11" ht="15">
      <c r="A925" s="13">
        <v>70007</v>
      </c>
      <c r="B925" s="60">
        <f>14.2783 * CHOOSE(CONTROL!$C$22, $C$13, 100%, $E$13)</f>
        <v>14.2783</v>
      </c>
      <c r="C925" s="60">
        <f>14.2783 * CHOOSE(CONTROL!$C$22, $C$13, 100%, $E$13)</f>
        <v>14.2783</v>
      </c>
      <c r="D925" s="60">
        <f>14.3159 * CHOOSE(CONTROL!$C$22, $C$13, 100%, $E$13)</f>
        <v>14.315899999999999</v>
      </c>
      <c r="E925" s="61">
        <f>17.3166 * CHOOSE(CONTROL!$C$22, $C$13, 100%, $E$13)</f>
        <v>17.316600000000001</v>
      </c>
      <c r="F925" s="61">
        <f>17.3166 * CHOOSE(CONTROL!$C$22, $C$13, 100%, $E$13)</f>
        <v>17.316600000000001</v>
      </c>
      <c r="G925" s="61">
        <f>17.3189 * CHOOSE(CONTROL!$C$22, $C$13, 100%, $E$13)</f>
        <v>17.318899999999999</v>
      </c>
      <c r="H925" s="61">
        <f>28.3879* CHOOSE(CONTROL!$C$22, $C$13, 100%, $E$13)</f>
        <v>28.387899999999998</v>
      </c>
      <c r="I925" s="61">
        <f>28.3902 * CHOOSE(CONTROL!$C$22, $C$13, 100%, $E$13)</f>
        <v>28.3902</v>
      </c>
      <c r="J925" s="61">
        <f>16.6978 * CHOOSE(CONTROL!$C$22, $C$13, 100%, $E$13)</f>
        <v>16.697800000000001</v>
      </c>
      <c r="K925" s="61">
        <f>17.3189 * CHOOSE(CONTROL!$C$22, $C$13, 100%, $E$13)</f>
        <v>17.318899999999999</v>
      </c>
    </row>
    <row r="926" spans="1:11" ht="15">
      <c r="A926" s="13">
        <v>70037</v>
      </c>
      <c r="B926" s="60">
        <f>14.3124 * CHOOSE(CONTROL!$C$22, $C$13, 100%, $E$13)</f>
        <v>14.3124</v>
      </c>
      <c r="C926" s="60">
        <f>14.3124 * CHOOSE(CONTROL!$C$22, $C$13, 100%, $E$13)</f>
        <v>14.3124</v>
      </c>
      <c r="D926" s="60">
        <f>14.3313 * CHOOSE(CONTROL!$C$22, $C$13, 100%, $E$13)</f>
        <v>14.331300000000001</v>
      </c>
      <c r="E926" s="61">
        <f>17.4246 * CHOOSE(CONTROL!$C$22, $C$13, 100%, $E$13)</f>
        <v>17.424600000000002</v>
      </c>
      <c r="F926" s="61">
        <f>17.4246 * CHOOSE(CONTROL!$C$22, $C$13, 100%, $E$13)</f>
        <v>17.424600000000002</v>
      </c>
      <c r="G926" s="61">
        <f>17.4248 * CHOOSE(CONTROL!$C$22, $C$13, 100%, $E$13)</f>
        <v>17.424800000000001</v>
      </c>
      <c r="H926" s="61">
        <f>28.4471* CHOOSE(CONTROL!$C$22, $C$13, 100%, $E$13)</f>
        <v>28.447099999999999</v>
      </c>
      <c r="I926" s="61">
        <f>28.4473 * CHOOSE(CONTROL!$C$22, $C$13, 100%, $E$13)</f>
        <v>28.447299999999998</v>
      </c>
      <c r="J926" s="61">
        <f>16.8006 * CHOOSE(CONTROL!$C$22, $C$13, 100%, $E$13)</f>
        <v>16.800599999999999</v>
      </c>
      <c r="K926" s="61">
        <f>17.4248 * CHOOSE(CONTROL!$C$22, $C$13, 100%, $E$13)</f>
        <v>17.424800000000001</v>
      </c>
    </row>
    <row r="927" spans="1:11" ht="15">
      <c r="A927" s="13">
        <v>70068</v>
      </c>
      <c r="B927" s="60">
        <f>14.3155 * CHOOSE(CONTROL!$C$22, $C$13, 100%, $E$13)</f>
        <v>14.3155</v>
      </c>
      <c r="C927" s="60">
        <f>14.3155 * CHOOSE(CONTROL!$C$22, $C$13, 100%, $E$13)</f>
        <v>14.3155</v>
      </c>
      <c r="D927" s="60">
        <f>14.3343 * CHOOSE(CONTROL!$C$22, $C$13, 100%, $E$13)</f>
        <v>14.334300000000001</v>
      </c>
      <c r="E927" s="61">
        <f>17.4874 * CHOOSE(CONTROL!$C$22, $C$13, 100%, $E$13)</f>
        <v>17.487400000000001</v>
      </c>
      <c r="F927" s="61">
        <f>17.4874 * CHOOSE(CONTROL!$C$22, $C$13, 100%, $E$13)</f>
        <v>17.487400000000001</v>
      </c>
      <c r="G927" s="61">
        <f>17.4876 * CHOOSE(CONTROL!$C$22, $C$13, 100%, $E$13)</f>
        <v>17.4876</v>
      </c>
      <c r="H927" s="61">
        <f>28.5063* CHOOSE(CONTROL!$C$22, $C$13, 100%, $E$13)</f>
        <v>28.5063</v>
      </c>
      <c r="I927" s="61">
        <f>28.5065 * CHOOSE(CONTROL!$C$22, $C$13, 100%, $E$13)</f>
        <v>28.506499999999999</v>
      </c>
      <c r="J927" s="61">
        <f>16.8608 * CHOOSE(CONTROL!$C$22, $C$13, 100%, $E$13)</f>
        <v>16.860800000000001</v>
      </c>
      <c r="K927" s="61">
        <f>17.4876 * CHOOSE(CONTROL!$C$22, $C$13, 100%, $E$13)</f>
        <v>17.4876</v>
      </c>
    </row>
    <row r="928" spans="1:11" ht="15">
      <c r="A928" s="13">
        <v>70098</v>
      </c>
      <c r="B928" s="60">
        <f>14.3155 * CHOOSE(CONTROL!$C$22, $C$13, 100%, $E$13)</f>
        <v>14.3155</v>
      </c>
      <c r="C928" s="60">
        <f>14.3155 * CHOOSE(CONTROL!$C$22, $C$13, 100%, $E$13)</f>
        <v>14.3155</v>
      </c>
      <c r="D928" s="60">
        <f>14.3343 * CHOOSE(CONTROL!$C$22, $C$13, 100%, $E$13)</f>
        <v>14.334300000000001</v>
      </c>
      <c r="E928" s="61">
        <f>17.3357 * CHOOSE(CONTROL!$C$22, $C$13, 100%, $E$13)</f>
        <v>17.335699999999999</v>
      </c>
      <c r="F928" s="61">
        <f>17.3357 * CHOOSE(CONTROL!$C$22, $C$13, 100%, $E$13)</f>
        <v>17.335699999999999</v>
      </c>
      <c r="G928" s="61">
        <f>17.3358 * CHOOSE(CONTROL!$C$22, $C$13, 100%, $E$13)</f>
        <v>17.335799999999999</v>
      </c>
      <c r="H928" s="61">
        <f>28.5657* CHOOSE(CONTROL!$C$22, $C$13, 100%, $E$13)</f>
        <v>28.5657</v>
      </c>
      <c r="I928" s="61">
        <f>28.5659 * CHOOSE(CONTROL!$C$22, $C$13, 100%, $E$13)</f>
        <v>28.565899999999999</v>
      </c>
      <c r="J928" s="61">
        <f>16.7156 * CHOOSE(CONTROL!$C$22, $C$13, 100%, $E$13)</f>
        <v>16.715599999999998</v>
      </c>
      <c r="K928" s="61">
        <f>17.3358 * CHOOSE(CONTROL!$C$22, $C$13, 100%, $E$13)</f>
        <v>17.335799999999999</v>
      </c>
    </row>
    <row r="929" spans="1:11" ht="15">
      <c r="A929" s="13">
        <v>70129</v>
      </c>
      <c r="B929" s="60">
        <f>14.2855 * CHOOSE(CONTROL!$C$22, $C$13, 100%, $E$13)</f>
        <v>14.285500000000001</v>
      </c>
      <c r="C929" s="60">
        <f>14.2855 * CHOOSE(CONTROL!$C$22, $C$13, 100%, $E$13)</f>
        <v>14.285500000000001</v>
      </c>
      <c r="D929" s="60">
        <f>14.3043 * CHOOSE(CONTROL!$C$22, $C$13, 100%, $E$13)</f>
        <v>14.3043</v>
      </c>
      <c r="E929" s="61">
        <f>17.4012 * CHOOSE(CONTROL!$C$22, $C$13, 100%, $E$13)</f>
        <v>17.401199999999999</v>
      </c>
      <c r="F929" s="61">
        <f>17.4012 * CHOOSE(CONTROL!$C$22, $C$13, 100%, $E$13)</f>
        <v>17.401199999999999</v>
      </c>
      <c r="G929" s="61">
        <f>17.4014 * CHOOSE(CONTROL!$C$22, $C$13, 100%, $E$13)</f>
        <v>17.401399999999999</v>
      </c>
      <c r="H929" s="61">
        <f>28.3207* CHOOSE(CONTROL!$C$22, $C$13, 100%, $E$13)</f>
        <v>28.320699999999999</v>
      </c>
      <c r="I929" s="61">
        <f>28.3208 * CHOOSE(CONTROL!$C$22, $C$13, 100%, $E$13)</f>
        <v>28.320799999999998</v>
      </c>
      <c r="J929" s="61">
        <f>16.7659 * CHOOSE(CONTROL!$C$22, $C$13, 100%, $E$13)</f>
        <v>16.765899999999998</v>
      </c>
      <c r="K929" s="61">
        <f>17.4014 * CHOOSE(CONTROL!$C$22, $C$13, 100%, $E$13)</f>
        <v>17.401399999999999</v>
      </c>
    </row>
    <row r="930" spans="1:11" ht="15">
      <c r="A930" s="13">
        <v>70160</v>
      </c>
      <c r="B930" s="60">
        <f>14.2824 * CHOOSE(CONTROL!$C$22, $C$13, 100%, $E$13)</f>
        <v>14.282400000000001</v>
      </c>
      <c r="C930" s="60">
        <f>14.2824 * CHOOSE(CONTROL!$C$22, $C$13, 100%, $E$13)</f>
        <v>14.282400000000001</v>
      </c>
      <c r="D930" s="60">
        <f>14.3013 * CHOOSE(CONTROL!$C$22, $C$13, 100%, $E$13)</f>
        <v>14.301299999999999</v>
      </c>
      <c r="E930" s="61">
        <f>17.1074 * CHOOSE(CONTROL!$C$22, $C$13, 100%, $E$13)</f>
        <v>17.107399999999998</v>
      </c>
      <c r="F930" s="61">
        <f>17.1074 * CHOOSE(CONTROL!$C$22, $C$13, 100%, $E$13)</f>
        <v>17.107399999999998</v>
      </c>
      <c r="G930" s="61">
        <f>17.1075 * CHOOSE(CONTROL!$C$22, $C$13, 100%, $E$13)</f>
        <v>17.107500000000002</v>
      </c>
      <c r="H930" s="61">
        <f>28.3797* CHOOSE(CONTROL!$C$22, $C$13, 100%, $E$13)</f>
        <v>28.3797</v>
      </c>
      <c r="I930" s="61">
        <f>28.3798 * CHOOSE(CONTROL!$C$22, $C$13, 100%, $E$13)</f>
        <v>28.379799999999999</v>
      </c>
      <c r="J930" s="61">
        <f>16.4848 * CHOOSE(CONTROL!$C$22, $C$13, 100%, $E$13)</f>
        <v>16.4848</v>
      </c>
      <c r="K930" s="61">
        <f>17.1075 * CHOOSE(CONTROL!$C$22, $C$13, 100%, $E$13)</f>
        <v>17.107500000000002</v>
      </c>
    </row>
    <row r="931" spans="1:11" ht="15">
      <c r="A931" s="13">
        <v>70189</v>
      </c>
      <c r="B931" s="60">
        <f>14.2794 * CHOOSE(CONTROL!$C$22, $C$13, 100%, $E$13)</f>
        <v>14.279400000000001</v>
      </c>
      <c r="C931" s="60">
        <f>14.2794 * CHOOSE(CONTROL!$C$22, $C$13, 100%, $E$13)</f>
        <v>14.279400000000001</v>
      </c>
      <c r="D931" s="60">
        <f>14.2982 * CHOOSE(CONTROL!$C$22, $C$13, 100%, $E$13)</f>
        <v>14.2982</v>
      </c>
      <c r="E931" s="61">
        <f>17.3352 * CHOOSE(CONTROL!$C$22, $C$13, 100%, $E$13)</f>
        <v>17.3352</v>
      </c>
      <c r="F931" s="61">
        <f>17.3352 * CHOOSE(CONTROL!$C$22, $C$13, 100%, $E$13)</f>
        <v>17.3352</v>
      </c>
      <c r="G931" s="61">
        <f>17.3354 * CHOOSE(CONTROL!$C$22, $C$13, 100%, $E$13)</f>
        <v>17.3354</v>
      </c>
      <c r="H931" s="61">
        <f>28.4388* CHOOSE(CONTROL!$C$22, $C$13, 100%, $E$13)</f>
        <v>28.438800000000001</v>
      </c>
      <c r="I931" s="61">
        <f>28.439 * CHOOSE(CONTROL!$C$22, $C$13, 100%, $E$13)</f>
        <v>28.439</v>
      </c>
      <c r="J931" s="61">
        <f>16.7026 * CHOOSE(CONTROL!$C$22, $C$13, 100%, $E$13)</f>
        <v>16.7026</v>
      </c>
      <c r="K931" s="61">
        <f>17.3354 * CHOOSE(CONTROL!$C$22, $C$13, 100%, $E$13)</f>
        <v>17.3354</v>
      </c>
    </row>
    <row r="932" spans="1:11" ht="15">
      <c r="A932" s="13">
        <v>70220</v>
      </c>
      <c r="B932" s="60">
        <f>14.2872 * CHOOSE(CONTROL!$C$22, $C$13, 100%, $E$13)</f>
        <v>14.2872</v>
      </c>
      <c r="C932" s="60">
        <f>14.2872 * CHOOSE(CONTROL!$C$22, $C$13, 100%, $E$13)</f>
        <v>14.2872</v>
      </c>
      <c r="D932" s="60">
        <f>14.306 * CHOOSE(CONTROL!$C$22, $C$13, 100%, $E$13)</f>
        <v>14.305999999999999</v>
      </c>
      <c r="E932" s="61">
        <f>17.578 * CHOOSE(CONTROL!$C$22, $C$13, 100%, $E$13)</f>
        <v>17.577999999999999</v>
      </c>
      <c r="F932" s="61">
        <f>17.578 * CHOOSE(CONTROL!$C$22, $C$13, 100%, $E$13)</f>
        <v>17.577999999999999</v>
      </c>
      <c r="G932" s="61">
        <f>17.5782 * CHOOSE(CONTROL!$C$22, $C$13, 100%, $E$13)</f>
        <v>17.578199999999999</v>
      </c>
      <c r="H932" s="61">
        <f>28.498* CHOOSE(CONTROL!$C$22, $C$13, 100%, $E$13)</f>
        <v>28.498000000000001</v>
      </c>
      <c r="I932" s="61">
        <f>28.4982 * CHOOSE(CONTROL!$C$22, $C$13, 100%, $E$13)</f>
        <v>28.498200000000001</v>
      </c>
      <c r="J932" s="61">
        <f>16.9346 * CHOOSE(CONTROL!$C$22, $C$13, 100%, $E$13)</f>
        <v>16.9346</v>
      </c>
      <c r="K932" s="61">
        <f>17.5782 * CHOOSE(CONTROL!$C$22, $C$13, 100%, $E$13)</f>
        <v>17.578199999999999</v>
      </c>
    </row>
    <row r="933" spans="1:11" ht="15">
      <c r="A933" s="13">
        <v>70250</v>
      </c>
      <c r="B933" s="60">
        <f>14.2872 * CHOOSE(CONTROL!$C$22, $C$13, 100%, $E$13)</f>
        <v>14.2872</v>
      </c>
      <c r="C933" s="60">
        <f>14.2872 * CHOOSE(CONTROL!$C$22, $C$13, 100%, $E$13)</f>
        <v>14.2872</v>
      </c>
      <c r="D933" s="60">
        <f>14.3248 * CHOOSE(CONTROL!$C$22, $C$13, 100%, $E$13)</f>
        <v>14.3248</v>
      </c>
      <c r="E933" s="61">
        <f>17.6706 * CHOOSE(CONTROL!$C$22, $C$13, 100%, $E$13)</f>
        <v>17.6706</v>
      </c>
      <c r="F933" s="61">
        <f>17.6706 * CHOOSE(CONTROL!$C$22, $C$13, 100%, $E$13)</f>
        <v>17.6706</v>
      </c>
      <c r="G933" s="61">
        <f>17.6729 * CHOOSE(CONTROL!$C$22, $C$13, 100%, $E$13)</f>
        <v>17.672899999999998</v>
      </c>
      <c r="H933" s="61">
        <f>28.5574* CHOOSE(CONTROL!$C$22, $C$13, 100%, $E$13)</f>
        <v>28.557400000000001</v>
      </c>
      <c r="I933" s="61">
        <f>28.5597 * CHOOSE(CONTROL!$C$22, $C$13, 100%, $E$13)</f>
        <v>28.559699999999999</v>
      </c>
      <c r="J933" s="61">
        <f>17.0232 * CHOOSE(CONTROL!$C$22, $C$13, 100%, $E$13)</f>
        <v>17.023199999999999</v>
      </c>
      <c r="K933" s="61">
        <f>17.6729 * CHOOSE(CONTROL!$C$22, $C$13, 100%, $E$13)</f>
        <v>17.672899999999998</v>
      </c>
    </row>
    <row r="934" spans="1:11" ht="15">
      <c r="A934" s="13">
        <v>70281</v>
      </c>
      <c r="B934" s="60">
        <f>14.2933 * CHOOSE(CONTROL!$C$22, $C$13, 100%, $E$13)</f>
        <v>14.2933</v>
      </c>
      <c r="C934" s="60">
        <f>14.2933 * CHOOSE(CONTROL!$C$22, $C$13, 100%, $E$13)</f>
        <v>14.2933</v>
      </c>
      <c r="D934" s="60">
        <f>14.3309 * CHOOSE(CONTROL!$C$22, $C$13, 100%, $E$13)</f>
        <v>14.3309</v>
      </c>
      <c r="E934" s="61">
        <f>17.5822 * CHOOSE(CONTROL!$C$22, $C$13, 100%, $E$13)</f>
        <v>17.5822</v>
      </c>
      <c r="F934" s="61">
        <f>17.5822 * CHOOSE(CONTROL!$C$22, $C$13, 100%, $E$13)</f>
        <v>17.5822</v>
      </c>
      <c r="G934" s="61">
        <f>17.5845 * CHOOSE(CONTROL!$C$22, $C$13, 100%, $E$13)</f>
        <v>17.584499999999998</v>
      </c>
      <c r="H934" s="61">
        <f>28.6169* CHOOSE(CONTROL!$C$22, $C$13, 100%, $E$13)</f>
        <v>28.616900000000001</v>
      </c>
      <c r="I934" s="61">
        <f>28.6192 * CHOOSE(CONTROL!$C$22, $C$13, 100%, $E$13)</f>
        <v>28.619199999999999</v>
      </c>
      <c r="J934" s="61">
        <f>16.9388 * CHOOSE(CONTROL!$C$22, $C$13, 100%, $E$13)</f>
        <v>16.938800000000001</v>
      </c>
      <c r="K934" s="61">
        <f>17.5845 * CHOOSE(CONTROL!$C$22, $C$13, 100%, $E$13)</f>
        <v>17.584499999999998</v>
      </c>
    </row>
    <row r="935" spans="1:11" ht="15">
      <c r="A935" s="13">
        <v>70311</v>
      </c>
      <c r="B935" s="60">
        <f>14.4896 * CHOOSE(CONTROL!$C$22, $C$13, 100%, $E$13)</f>
        <v>14.489599999999999</v>
      </c>
      <c r="C935" s="60">
        <f>14.4896 * CHOOSE(CONTROL!$C$22, $C$13, 100%, $E$13)</f>
        <v>14.489599999999999</v>
      </c>
      <c r="D935" s="60">
        <f>14.5272 * CHOOSE(CONTROL!$C$22, $C$13, 100%, $E$13)</f>
        <v>14.527200000000001</v>
      </c>
      <c r="E935" s="61">
        <f>17.8993 * CHOOSE(CONTROL!$C$22, $C$13, 100%, $E$13)</f>
        <v>17.8993</v>
      </c>
      <c r="F935" s="61">
        <f>17.8993 * CHOOSE(CONTROL!$C$22, $C$13, 100%, $E$13)</f>
        <v>17.8993</v>
      </c>
      <c r="G935" s="61">
        <f>17.9016 * CHOOSE(CONTROL!$C$22, $C$13, 100%, $E$13)</f>
        <v>17.901599999999998</v>
      </c>
      <c r="H935" s="61">
        <f>28.6765* CHOOSE(CONTROL!$C$22, $C$13, 100%, $E$13)</f>
        <v>28.676500000000001</v>
      </c>
      <c r="I935" s="61">
        <f>28.6788 * CHOOSE(CONTROL!$C$22, $C$13, 100%, $E$13)</f>
        <v>28.678799999999999</v>
      </c>
      <c r="J935" s="61">
        <f>17.2449 * CHOOSE(CONTROL!$C$22, $C$13, 100%, $E$13)</f>
        <v>17.244900000000001</v>
      </c>
      <c r="K935" s="61">
        <f>17.9016 * CHOOSE(CONTROL!$C$22, $C$13, 100%, $E$13)</f>
        <v>17.901599999999998</v>
      </c>
    </row>
    <row r="936" spans="1:11" ht="15">
      <c r="A936" s="13">
        <v>70342</v>
      </c>
      <c r="B936" s="60">
        <f>14.4963 * CHOOSE(CONTROL!$C$22, $C$13, 100%, $E$13)</f>
        <v>14.4963</v>
      </c>
      <c r="C936" s="60">
        <f>14.4963 * CHOOSE(CONTROL!$C$22, $C$13, 100%, $E$13)</f>
        <v>14.4963</v>
      </c>
      <c r="D936" s="60">
        <f>14.5339 * CHOOSE(CONTROL!$C$22, $C$13, 100%, $E$13)</f>
        <v>14.533899999999999</v>
      </c>
      <c r="E936" s="61">
        <f>17.6261 * CHOOSE(CONTROL!$C$22, $C$13, 100%, $E$13)</f>
        <v>17.626100000000001</v>
      </c>
      <c r="F936" s="61">
        <f>17.6261 * CHOOSE(CONTROL!$C$22, $C$13, 100%, $E$13)</f>
        <v>17.626100000000001</v>
      </c>
      <c r="G936" s="61">
        <f>17.6284 * CHOOSE(CONTROL!$C$22, $C$13, 100%, $E$13)</f>
        <v>17.628399999999999</v>
      </c>
      <c r="H936" s="61">
        <f>28.7363* CHOOSE(CONTROL!$C$22, $C$13, 100%, $E$13)</f>
        <v>28.7363</v>
      </c>
      <c r="I936" s="61">
        <f>28.7386 * CHOOSE(CONTROL!$C$22, $C$13, 100%, $E$13)</f>
        <v>28.738600000000002</v>
      </c>
      <c r="J936" s="61">
        <f>16.9838 * CHOOSE(CONTROL!$C$22, $C$13, 100%, $E$13)</f>
        <v>16.983799999999999</v>
      </c>
      <c r="K936" s="61">
        <f>17.6284 * CHOOSE(CONTROL!$C$22, $C$13, 100%, $E$13)</f>
        <v>17.628399999999999</v>
      </c>
    </row>
    <row r="937" spans="1:11" ht="15">
      <c r="A937" s="13">
        <v>70373</v>
      </c>
      <c r="B937" s="60">
        <f>14.4932 * CHOOSE(CONTROL!$C$22, $C$13, 100%, $E$13)</f>
        <v>14.4932</v>
      </c>
      <c r="C937" s="60">
        <f>14.4932 * CHOOSE(CONTROL!$C$22, $C$13, 100%, $E$13)</f>
        <v>14.4932</v>
      </c>
      <c r="D937" s="60">
        <f>14.5309 * CHOOSE(CONTROL!$C$22, $C$13, 100%, $E$13)</f>
        <v>14.530900000000001</v>
      </c>
      <c r="E937" s="61">
        <f>17.5931 * CHOOSE(CONTROL!$C$22, $C$13, 100%, $E$13)</f>
        <v>17.5931</v>
      </c>
      <c r="F937" s="61">
        <f>17.5931 * CHOOSE(CONTROL!$C$22, $C$13, 100%, $E$13)</f>
        <v>17.5931</v>
      </c>
      <c r="G937" s="61">
        <f>17.5954 * CHOOSE(CONTROL!$C$22, $C$13, 100%, $E$13)</f>
        <v>17.595400000000001</v>
      </c>
      <c r="H937" s="61">
        <f>28.7961* CHOOSE(CONTROL!$C$22, $C$13, 100%, $E$13)</f>
        <v>28.796099999999999</v>
      </c>
      <c r="I937" s="61">
        <f>28.7985 * CHOOSE(CONTROL!$C$22, $C$13, 100%, $E$13)</f>
        <v>28.798500000000001</v>
      </c>
      <c r="J937" s="61">
        <f>16.9522 * CHOOSE(CONTROL!$C$22, $C$13, 100%, $E$13)</f>
        <v>16.952200000000001</v>
      </c>
      <c r="K937" s="61">
        <f>17.5954 * CHOOSE(CONTROL!$C$22, $C$13, 100%, $E$13)</f>
        <v>17.595400000000001</v>
      </c>
    </row>
    <row r="938" spans="1:11" ht="15">
      <c r="A938" s="13">
        <v>70403</v>
      </c>
      <c r="B938" s="60">
        <f>14.5282 * CHOOSE(CONTROL!$C$22, $C$13, 100%, $E$13)</f>
        <v>14.5282</v>
      </c>
      <c r="C938" s="60">
        <f>14.5282 * CHOOSE(CONTROL!$C$22, $C$13, 100%, $E$13)</f>
        <v>14.5282</v>
      </c>
      <c r="D938" s="60">
        <f>14.547 * CHOOSE(CONTROL!$C$22, $C$13, 100%, $E$13)</f>
        <v>14.547000000000001</v>
      </c>
      <c r="E938" s="61">
        <f>17.7032 * CHOOSE(CONTROL!$C$22, $C$13, 100%, $E$13)</f>
        <v>17.703199999999999</v>
      </c>
      <c r="F938" s="61">
        <f>17.7032 * CHOOSE(CONTROL!$C$22, $C$13, 100%, $E$13)</f>
        <v>17.703199999999999</v>
      </c>
      <c r="G938" s="61">
        <f>17.7034 * CHOOSE(CONTROL!$C$22, $C$13, 100%, $E$13)</f>
        <v>17.703399999999998</v>
      </c>
      <c r="H938" s="61">
        <f>28.8561* CHOOSE(CONTROL!$C$22, $C$13, 100%, $E$13)</f>
        <v>28.856100000000001</v>
      </c>
      <c r="I938" s="61">
        <f>28.8563 * CHOOSE(CONTROL!$C$22, $C$13, 100%, $E$13)</f>
        <v>28.856300000000001</v>
      </c>
      <c r="J938" s="61">
        <f>17.0569 * CHOOSE(CONTROL!$C$22, $C$13, 100%, $E$13)</f>
        <v>17.056899999999999</v>
      </c>
      <c r="K938" s="61">
        <f>17.7034 * CHOOSE(CONTROL!$C$22, $C$13, 100%, $E$13)</f>
        <v>17.703399999999998</v>
      </c>
    </row>
    <row r="939" spans="1:11" ht="15">
      <c r="A939" s="13">
        <v>70434</v>
      </c>
      <c r="B939" s="60">
        <f>14.5312 * CHOOSE(CONTROL!$C$22, $C$13, 100%, $E$13)</f>
        <v>14.5312</v>
      </c>
      <c r="C939" s="60">
        <f>14.5312 * CHOOSE(CONTROL!$C$22, $C$13, 100%, $E$13)</f>
        <v>14.5312</v>
      </c>
      <c r="D939" s="60">
        <f>14.55 * CHOOSE(CONTROL!$C$22, $C$13, 100%, $E$13)</f>
        <v>14.55</v>
      </c>
      <c r="E939" s="61">
        <f>17.767 * CHOOSE(CONTROL!$C$22, $C$13, 100%, $E$13)</f>
        <v>17.766999999999999</v>
      </c>
      <c r="F939" s="61">
        <f>17.767 * CHOOSE(CONTROL!$C$22, $C$13, 100%, $E$13)</f>
        <v>17.766999999999999</v>
      </c>
      <c r="G939" s="61">
        <f>17.7672 * CHOOSE(CONTROL!$C$22, $C$13, 100%, $E$13)</f>
        <v>17.767199999999999</v>
      </c>
      <c r="H939" s="61">
        <f>28.9162* CHOOSE(CONTROL!$C$22, $C$13, 100%, $E$13)</f>
        <v>28.9162</v>
      </c>
      <c r="I939" s="61">
        <f>28.9164 * CHOOSE(CONTROL!$C$22, $C$13, 100%, $E$13)</f>
        <v>28.916399999999999</v>
      </c>
      <c r="J939" s="61">
        <f>17.118 * CHOOSE(CONTROL!$C$22, $C$13, 100%, $E$13)</f>
        <v>17.117999999999999</v>
      </c>
      <c r="K939" s="61">
        <f>17.7672 * CHOOSE(CONTROL!$C$22, $C$13, 100%, $E$13)</f>
        <v>17.767199999999999</v>
      </c>
    </row>
    <row r="940" spans="1:11" ht="15">
      <c r="A940" s="13">
        <v>70464</v>
      </c>
      <c r="B940" s="60">
        <f>14.5312 * CHOOSE(CONTROL!$C$22, $C$13, 100%, $E$13)</f>
        <v>14.5312</v>
      </c>
      <c r="C940" s="60">
        <f>14.5312 * CHOOSE(CONTROL!$C$22, $C$13, 100%, $E$13)</f>
        <v>14.5312</v>
      </c>
      <c r="D940" s="60">
        <f>14.55 * CHOOSE(CONTROL!$C$22, $C$13, 100%, $E$13)</f>
        <v>14.55</v>
      </c>
      <c r="E940" s="61">
        <f>17.6127 * CHOOSE(CONTROL!$C$22, $C$13, 100%, $E$13)</f>
        <v>17.6127</v>
      </c>
      <c r="F940" s="61">
        <f>17.6127 * CHOOSE(CONTROL!$C$22, $C$13, 100%, $E$13)</f>
        <v>17.6127</v>
      </c>
      <c r="G940" s="61">
        <f>17.6129 * CHOOSE(CONTROL!$C$22, $C$13, 100%, $E$13)</f>
        <v>17.6129</v>
      </c>
      <c r="H940" s="61">
        <f>28.9765* CHOOSE(CONTROL!$C$22, $C$13, 100%, $E$13)</f>
        <v>28.976500000000001</v>
      </c>
      <c r="I940" s="61">
        <f>28.9767 * CHOOSE(CONTROL!$C$22, $C$13, 100%, $E$13)</f>
        <v>28.976700000000001</v>
      </c>
      <c r="J940" s="61">
        <f>16.9704 * CHOOSE(CONTROL!$C$22, $C$13, 100%, $E$13)</f>
        <v>16.970400000000001</v>
      </c>
      <c r="K940" s="61">
        <f>17.6129 * CHOOSE(CONTROL!$C$22, $C$13, 100%, $E$13)</f>
        <v>17.6129</v>
      </c>
    </row>
    <row r="941" spans="1:11" ht="15">
      <c r="A941" s="13">
        <v>70495</v>
      </c>
      <c r="B941" s="60">
        <f>14.4975 * CHOOSE(CONTROL!$C$22, $C$13, 100%, $E$13)</f>
        <v>14.4975</v>
      </c>
      <c r="C941" s="60">
        <f>14.4975 * CHOOSE(CONTROL!$C$22, $C$13, 100%, $E$13)</f>
        <v>14.4975</v>
      </c>
      <c r="D941" s="60">
        <f>14.5163 * CHOOSE(CONTROL!$C$22, $C$13, 100%, $E$13)</f>
        <v>14.516299999999999</v>
      </c>
      <c r="E941" s="61">
        <f>17.675 * CHOOSE(CONTROL!$C$22, $C$13, 100%, $E$13)</f>
        <v>17.675000000000001</v>
      </c>
      <c r="F941" s="61">
        <f>17.675 * CHOOSE(CONTROL!$C$22, $C$13, 100%, $E$13)</f>
        <v>17.675000000000001</v>
      </c>
      <c r="G941" s="61">
        <f>17.6752 * CHOOSE(CONTROL!$C$22, $C$13, 100%, $E$13)</f>
        <v>17.6752</v>
      </c>
      <c r="H941" s="61">
        <f>28.7221* CHOOSE(CONTROL!$C$22, $C$13, 100%, $E$13)</f>
        <v>28.722100000000001</v>
      </c>
      <c r="I941" s="61">
        <f>28.7223 * CHOOSE(CONTROL!$C$22, $C$13, 100%, $E$13)</f>
        <v>28.722300000000001</v>
      </c>
      <c r="J941" s="61">
        <f>17.0178 * CHOOSE(CONTROL!$C$22, $C$13, 100%, $E$13)</f>
        <v>17.017800000000001</v>
      </c>
      <c r="K941" s="61">
        <f>17.6752 * CHOOSE(CONTROL!$C$22, $C$13, 100%, $E$13)</f>
        <v>17.6752</v>
      </c>
    </row>
    <row r="942" spans="1:11" ht="15">
      <c r="A942" s="13">
        <v>70526</v>
      </c>
      <c r="B942" s="60">
        <f>14.4944 * CHOOSE(CONTROL!$C$22, $C$13, 100%, $E$13)</f>
        <v>14.494400000000001</v>
      </c>
      <c r="C942" s="60">
        <f>14.4944 * CHOOSE(CONTROL!$C$22, $C$13, 100%, $E$13)</f>
        <v>14.494400000000001</v>
      </c>
      <c r="D942" s="60">
        <f>14.5133 * CHOOSE(CONTROL!$C$22, $C$13, 100%, $E$13)</f>
        <v>14.513299999999999</v>
      </c>
      <c r="E942" s="61">
        <f>17.3762 * CHOOSE(CONTROL!$C$22, $C$13, 100%, $E$13)</f>
        <v>17.376200000000001</v>
      </c>
      <c r="F942" s="61">
        <f>17.3762 * CHOOSE(CONTROL!$C$22, $C$13, 100%, $E$13)</f>
        <v>17.376200000000001</v>
      </c>
      <c r="G942" s="61">
        <f>17.3764 * CHOOSE(CONTROL!$C$22, $C$13, 100%, $E$13)</f>
        <v>17.3764</v>
      </c>
      <c r="H942" s="61">
        <f>28.782* CHOOSE(CONTROL!$C$22, $C$13, 100%, $E$13)</f>
        <v>28.782</v>
      </c>
      <c r="I942" s="61">
        <f>28.7821 * CHOOSE(CONTROL!$C$22, $C$13, 100%, $E$13)</f>
        <v>28.7821</v>
      </c>
      <c r="J942" s="61">
        <f>16.7322 * CHOOSE(CONTROL!$C$22, $C$13, 100%, $E$13)</f>
        <v>16.732199999999999</v>
      </c>
      <c r="K942" s="61">
        <f>17.3764 * CHOOSE(CONTROL!$C$22, $C$13, 100%, $E$13)</f>
        <v>17.3764</v>
      </c>
    </row>
    <row r="943" spans="1:11" ht="15">
      <c r="A943" s="13">
        <v>70554</v>
      </c>
      <c r="B943" s="60">
        <f>14.4914 * CHOOSE(CONTROL!$C$22, $C$13, 100%, $E$13)</f>
        <v>14.491400000000001</v>
      </c>
      <c r="C943" s="60">
        <f>14.4914 * CHOOSE(CONTROL!$C$22, $C$13, 100%, $E$13)</f>
        <v>14.491400000000001</v>
      </c>
      <c r="D943" s="60">
        <f>14.5102 * CHOOSE(CONTROL!$C$22, $C$13, 100%, $E$13)</f>
        <v>14.510199999999999</v>
      </c>
      <c r="E943" s="61">
        <f>17.608 * CHOOSE(CONTROL!$C$22, $C$13, 100%, $E$13)</f>
        <v>17.608000000000001</v>
      </c>
      <c r="F943" s="61">
        <f>17.608 * CHOOSE(CONTROL!$C$22, $C$13, 100%, $E$13)</f>
        <v>17.608000000000001</v>
      </c>
      <c r="G943" s="61">
        <f>17.6081 * CHOOSE(CONTROL!$C$22, $C$13, 100%, $E$13)</f>
        <v>17.6081</v>
      </c>
      <c r="H943" s="61">
        <f>28.8419* CHOOSE(CONTROL!$C$22, $C$13, 100%, $E$13)</f>
        <v>28.841899999999999</v>
      </c>
      <c r="I943" s="61">
        <f>28.8421 * CHOOSE(CONTROL!$C$22, $C$13, 100%, $E$13)</f>
        <v>28.842099999999999</v>
      </c>
      <c r="J943" s="61">
        <f>16.9535 * CHOOSE(CONTROL!$C$22, $C$13, 100%, $E$13)</f>
        <v>16.953499999999998</v>
      </c>
      <c r="K943" s="61">
        <f>17.6081 * CHOOSE(CONTROL!$C$22, $C$13, 100%, $E$13)</f>
        <v>17.6081</v>
      </c>
    </row>
    <row r="944" spans="1:11" ht="15">
      <c r="A944" s="13">
        <v>70585</v>
      </c>
      <c r="B944" s="60">
        <f>14.4994 * CHOOSE(CONTROL!$C$22, $C$13, 100%, $E$13)</f>
        <v>14.4994</v>
      </c>
      <c r="C944" s="60">
        <f>14.4994 * CHOOSE(CONTROL!$C$22, $C$13, 100%, $E$13)</f>
        <v>14.4994</v>
      </c>
      <c r="D944" s="60">
        <f>14.5182 * CHOOSE(CONTROL!$C$22, $C$13, 100%, $E$13)</f>
        <v>14.5182</v>
      </c>
      <c r="E944" s="61">
        <f>17.8549 * CHOOSE(CONTROL!$C$22, $C$13, 100%, $E$13)</f>
        <v>17.854900000000001</v>
      </c>
      <c r="F944" s="61">
        <f>17.8549 * CHOOSE(CONTROL!$C$22, $C$13, 100%, $E$13)</f>
        <v>17.854900000000001</v>
      </c>
      <c r="G944" s="61">
        <f>17.855 * CHOOSE(CONTROL!$C$22, $C$13, 100%, $E$13)</f>
        <v>17.855</v>
      </c>
      <c r="H944" s="61">
        <f>28.902* CHOOSE(CONTROL!$C$22, $C$13, 100%, $E$13)</f>
        <v>28.902000000000001</v>
      </c>
      <c r="I944" s="61">
        <f>28.9022 * CHOOSE(CONTROL!$C$22, $C$13, 100%, $E$13)</f>
        <v>28.902200000000001</v>
      </c>
      <c r="J944" s="61">
        <f>17.1893 * CHOOSE(CONTROL!$C$22, $C$13, 100%, $E$13)</f>
        <v>17.189299999999999</v>
      </c>
      <c r="K944" s="61">
        <f>17.855 * CHOOSE(CONTROL!$C$22, $C$13, 100%, $E$13)</f>
        <v>17.855</v>
      </c>
    </row>
    <row r="945" spans="1:11" ht="15">
      <c r="A945" s="13">
        <v>70615</v>
      </c>
      <c r="B945" s="60">
        <f>14.4994 * CHOOSE(CONTROL!$C$22, $C$13, 100%, $E$13)</f>
        <v>14.4994</v>
      </c>
      <c r="C945" s="60">
        <f>14.4994 * CHOOSE(CONTROL!$C$22, $C$13, 100%, $E$13)</f>
        <v>14.4994</v>
      </c>
      <c r="D945" s="60">
        <f>14.537 * CHOOSE(CONTROL!$C$22, $C$13, 100%, $E$13)</f>
        <v>14.537000000000001</v>
      </c>
      <c r="E945" s="61">
        <f>17.949 * CHOOSE(CONTROL!$C$22, $C$13, 100%, $E$13)</f>
        <v>17.949000000000002</v>
      </c>
      <c r="F945" s="61">
        <f>17.949 * CHOOSE(CONTROL!$C$22, $C$13, 100%, $E$13)</f>
        <v>17.949000000000002</v>
      </c>
      <c r="G945" s="61">
        <f>17.9514 * CHOOSE(CONTROL!$C$22, $C$13, 100%, $E$13)</f>
        <v>17.9514</v>
      </c>
      <c r="H945" s="61">
        <f>28.9622* CHOOSE(CONTROL!$C$22, $C$13, 100%, $E$13)</f>
        <v>28.962199999999999</v>
      </c>
      <c r="I945" s="61">
        <f>28.9645 * CHOOSE(CONTROL!$C$22, $C$13, 100%, $E$13)</f>
        <v>28.964500000000001</v>
      </c>
      <c r="J945" s="61">
        <f>17.2792 * CHOOSE(CONTROL!$C$22, $C$13, 100%, $E$13)</f>
        <v>17.279199999999999</v>
      </c>
      <c r="K945" s="61">
        <f>17.9514 * CHOOSE(CONTROL!$C$22, $C$13, 100%, $E$13)</f>
        <v>17.9514</v>
      </c>
    </row>
    <row r="946" spans="1:11" ht="15">
      <c r="A946" s="13">
        <v>70646</v>
      </c>
      <c r="B946" s="60">
        <f>14.5055 * CHOOSE(CONTROL!$C$22, $C$13, 100%, $E$13)</f>
        <v>14.5055</v>
      </c>
      <c r="C946" s="60">
        <f>14.5055 * CHOOSE(CONTROL!$C$22, $C$13, 100%, $E$13)</f>
        <v>14.5055</v>
      </c>
      <c r="D946" s="60">
        <f>14.5431 * CHOOSE(CONTROL!$C$22, $C$13, 100%, $E$13)</f>
        <v>14.543100000000001</v>
      </c>
      <c r="E946" s="61">
        <f>17.8591 * CHOOSE(CONTROL!$C$22, $C$13, 100%, $E$13)</f>
        <v>17.859100000000002</v>
      </c>
      <c r="F946" s="61">
        <f>17.8591 * CHOOSE(CONTROL!$C$22, $C$13, 100%, $E$13)</f>
        <v>17.859100000000002</v>
      </c>
      <c r="G946" s="61">
        <f>17.8614 * CHOOSE(CONTROL!$C$22, $C$13, 100%, $E$13)</f>
        <v>17.8614</v>
      </c>
      <c r="H946" s="61">
        <f>29.0226* CHOOSE(CONTROL!$C$22, $C$13, 100%, $E$13)</f>
        <v>29.022600000000001</v>
      </c>
      <c r="I946" s="61">
        <f>29.0249 * CHOOSE(CONTROL!$C$22, $C$13, 100%, $E$13)</f>
        <v>29.024899999999999</v>
      </c>
      <c r="J946" s="61">
        <f>17.1935 * CHOOSE(CONTROL!$C$22, $C$13, 100%, $E$13)</f>
        <v>17.1935</v>
      </c>
      <c r="K946" s="61">
        <f>17.8614 * CHOOSE(CONTROL!$C$22, $C$13, 100%, $E$13)</f>
        <v>17.8614</v>
      </c>
    </row>
    <row r="947" spans="1:11" ht="15">
      <c r="A947" s="13">
        <v>70676</v>
      </c>
      <c r="B947" s="60">
        <f>14.7045 * CHOOSE(CONTROL!$C$22, $C$13, 100%, $E$13)</f>
        <v>14.704499999999999</v>
      </c>
      <c r="C947" s="60">
        <f>14.7045 * CHOOSE(CONTROL!$C$22, $C$13, 100%, $E$13)</f>
        <v>14.704499999999999</v>
      </c>
      <c r="D947" s="60">
        <f>14.7421 * CHOOSE(CONTROL!$C$22, $C$13, 100%, $E$13)</f>
        <v>14.742100000000001</v>
      </c>
      <c r="E947" s="61">
        <f>18.181 * CHOOSE(CONTROL!$C$22, $C$13, 100%, $E$13)</f>
        <v>18.181000000000001</v>
      </c>
      <c r="F947" s="61">
        <f>18.181 * CHOOSE(CONTROL!$C$22, $C$13, 100%, $E$13)</f>
        <v>18.181000000000001</v>
      </c>
      <c r="G947" s="61">
        <f>18.1833 * CHOOSE(CONTROL!$C$22, $C$13, 100%, $E$13)</f>
        <v>18.183299999999999</v>
      </c>
      <c r="H947" s="61">
        <f>29.083* CHOOSE(CONTROL!$C$22, $C$13, 100%, $E$13)</f>
        <v>29.082999999999998</v>
      </c>
      <c r="I947" s="61">
        <f>29.0853 * CHOOSE(CONTROL!$C$22, $C$13, 100%, $E$13)</f>
        <v>29.0853</v>
      </c>
      <c r="J947" s="61">
        <f>17.504 * CHOOSE(CONTROL!$C$22, $C$13, 100%, $E$13)</f>
        <v>17.504000000000001</v>
      </c>
      <c r="K947" s="61">
        <f>18.1833 * CHOOSE(CONTROL!$C$22, $C$13, 100%, $E$13)</f>
        <v>18.183299999999999</v>
      </c>
    </row>
    <row r="948" spans="1:11" ht="15">
      <c r="A948" s="13">
        <v>70707</v>
      </c>
      <c r="B948" s="60">
        <f>14.7112 * CHOOSE(CONTROL!$C$22, $C$13, 100%, $E$13)</f>
        <v>14.7112</v>
      </c>
      <c r="C948" s="60">
        <f>14.7112 * CHOOSE(CONTROL!$C$22, $C$13, 100%, $E$13)</f>
        <v>14.7112</v>
      </c>
      <c r="D948" s="60">
        <f>14.7488 * CHOOSE(CONTROL!$C$22, $C$13, 100%, $E$13)</f>
        <v>14.748799999999999</v>
      </c>
      <c r="E948" s="61">
        <f>17.9031 * CHOOSE(CONTROL!$C$22, $C$13, 100%, $E$13)</f>
        <v>17.903099999999998</v>
      </c>
      <c r="F948" s="61">
        <f>17.9031 * CHOOSE(CONTROL!$C$22, $C$13, 100%, $E$13)</f>
        <v>17.903099999999998</v>
      </c>
      <c r="G948" s="61">
        <f>17.9054 * CHOOSE(CONTROL!$C$22, $C$13, 100%, $E$13)</f>
        <v>17.9054</v>
      </c>
      <c r="H948" s="61">
        <f>29.1436* CHOOSE(CONTROL!$C$22, $C$13, 100%, $E$13)</f>
        <v>29.143599999999999</v>
      </c>
      <c r="I948" s="61">
        <f>29.1459 * CHOOSE(CONTROL!$C$22, $C$13, 100%, $E$13)</f>
        <v>29.145900000000001</v>
      </c>
      <c r="J948" s="61">
        <f>17.2387 * CHOOSE(CONTROL!$C$22, $C$13, 100%, $E$13)</f>
        <v>17.238700000000001</v>
      </c>
      <c r="K948" s="61">
        <f>17.9054 * CHOOSE(CONTROL!$C$22, $C$13, 100%, $E$13)</f>
        <v>17.9054</v>
      </c>
    </row>
    <row r="949" spans="1:11" ht="15">
      <c r="A949" s="13">
        <v>70738</v>
      </c>
      <c r="B949" s="60">
        <f>14.7081 * CHOOSE(CONTROL!$C$22, $C$13, 100%, $E$13)</f>
        <v>14.7081</v>
      </c>
      <c r="C949" s="60">
        <f>14.7081 * CHOOSE(CONTROL!$C$22, $C$13, 100%, $E$13)</f>
        <v>14.7081</v>
      </c>
      <c r="D949" s="60">
        <f>14.7458 * CHOOSE(CONTROL!$C$22, $C$13, 100%, $E$13)</f>
        <v>14.745799999999999</v>
      </c>
      <c r="E949" s="61">
        <f>17.8696 * CHOOSE(CONTROL!$C$22, $C$13, 100%, $E$13)</f>
        <v>17.869599999999998</v>
      </c>
      <c r="F949" s="61">
        <f>17.8696 * CHOOSE(CONTROL!$C$22, $C$13, 100%, $E$13)</f>
        <v>17.869599999999998</v>
      </c>
      <c r="G949" s="61">
        <f>17.8719 * CHOOSE(CONTROL!$C$22, $C$13, 100%, $E$13)</f>
        <v>17.8719</v>
      </c>
      <c r="H949" s="61">
        <f>29.2043* CHOOSE(CONTROL!$C$22, $C$13, 100%, $E$13)</f>
        <v>29.2043</v>
      </c>
      <c r="I949" s="61">
        <f>29.2067 * CHOOSE(CONTROL!$C$22, $C$13, 100%, $E$13)</f>
        <v>29.206700000000001</v>
      </c>
      <c r="J949" s="61">
        <f>17.2066 * CHOOSE(CONTROL!$C$22, $C$13, 100%, $E$13)</f>
        <v>17.206600000000002</v>
      </c>
      <c r="K949" s="61">
        <f>17.8719 * CHOOSE(CONTROL!$C$22, $C$13, 100%, $E$13)</f>
        <v>17.8719</v>
      </c>
    </row>
    <row r="950" spans="1:11" ht="15">
      <c r="A950" s="13">
        <v>70768</v>
      </c>
      <c r="B950" s="60">
        <f>14.7439 * CHOOSE(CONTROL!$C$22, $C$13, 100%, $E$13)</f>
        <v>14.7439</v>
      </c>
      <c r="C950" s="60">
        <f>14.7439 * CHOOSE(CONTROL!$C$22, $C$13, 100%, $E$13)</f>
        <v>14.7439</v>
      </c>
      <c r="D950" s="60">
        <f>14.7627 * CHOOSE(CONTROL!$C$22, $C$13, 100%, $E$13)</f>
        <v>14.762700000000001</v>
      </c>
      <c r="E950" s="61">
        <f>17.9817 * CHOOSE(CONTROL!$C$22, $C$13, 100%, $E$13)</f>
        <v>17.9817</v>
      </c>
      <c r="F950" s="61">
        <f>17.9817 * CHOOSE(CONTROL!$C$22, $C$13, 100%, $E$13)</f>
        <v>17.9817</v>
      </c>
      <c r="G950" s="61">
        <f>17.9819 * CHOOSE(CONTROL!$C$22, $C$13, 100%, $E$13)</f>
        <v>17.9819</v>
      </c>
      <c r="H950" s="61">
        <f>29.2652* CHOOSE(CONTROL!$C$22, $C$13, 100%, $E$13)</f>
        <v>29.2652</v>
      </c>
      <c r="I950" s="61">
        <f>29.2654 * CHOOSE(CONTROL!$C$22, $C$13, 100%, $E$13)</f>
        <v>29.2654</v>
      </c>
      <c r="J950" s="61">
        <f>17.3131 * CHOOSE(CONTROL!$C$22, $C$13, 100%, $E$13)</f>
        <v>17.313099999999999</v>
      </c>
      <c r="K950" s="61">
        <f>17.9819 * CHOOSE(CONTROL!$C$22, $C$13, 100%, $E$13)</f>
        <v>17.9819</v>
      </c>
    </row>
    <row r="951" spans="1:11" ht="15">
      <c r="A951" s="13">
        <v>70799</v>
      </c>
      <c r="B951" s="60">
        <f>14.7469 * CHOOSE(CONTROL!$C$22, $C$13, 100%, $E$13)</f>
        <v>14.7469</v>
      </c>
      <c r="C951" s="60">
        <f>14.7469 * CHOOSE(CONTROL!$C$22, $C$13, 100%, $E$13)</f>
        <v>14.7469</v>
      </c>
      <c r="D951" s="60">
        <f>14.7658 * CHOOSE(CONTROL!$C$22, $C$13, 100%, $E$13)</f>
        <v>14.7658</v>
      </c>
      <c r="E951" s="61">
        <f>18.0466 * CHOOSE(CONTROL!$C$22, $C$13, 100%, $E$13)</f>
        <v>18.046600000000002</v>
      </c>
      <c r="F951" s="61">
        <f>18.0466 * CHOOSE(CONTROL!$C$22, $C$13, 100%, $E$13)</f>
        <v>18.046600000000002</v>
      </c>
      <c r="G951" s="61">
        <f>18.0468 * CHOOSE(CONTROL!$C$22, $C$13, 100%, $E$13)</f>
        <v>18.046800000000001</v>
      </c>
      <c r="H951" s="61">
        <f>29.3262* CHOOSE(CONTROL!$C$22, $C$13, 100%, $E$13)</f>
        <v>29.3262</v>
      </c>
      <c r="I951" s="61">
        <f>29.3263 * CHOOSE(CONTROL!$C$22, $C$13, 100%, $E$13)</f>
        <v>29.3263</v>
      </c>
      <c r="J951" s="61">
        <f>17.3752 * CHOOSE(CONTROL!$C$22, $C$13, 100%, $E$13)</f>
        <v>17.3752</v>
      </c>
      <c r="K951" s="61">
        <f>18.0468 * CHOOSE(CONTROL!$C$22, $C$13, 100%, $E$13)</f>
        <v>18.046800000000001</v>
      </c>
    </row>
    <row r="952" spans="1:11" ht="15">
      <c r="A952" s="13">
        <v>70829</v>
      </c>
      <c r="B952" s="60">
        <f>14.7469 * CHOOSE(CONTROL!$C$22, $C$13, 100%, $E$13)</f>
        <v>14.7469</v>
      </c>
      <c r="C952" s="60">
        <f>14.7469 * CHOOSE(CONTROL!$C$22, $C$13, 100%, $E$13)</f>
        <v>14.7469</v>
      </c>
      <c r="D952" s="60">
        <f>14.7658 * CHOOSE(CONTROL!$C$22, $C$13, 100%, $E$13)</f>
        <v>14.7658</v>
      </c>
      <c r="E952" s="61">
        <f>17.8897 * CHOOSE(CONTROL!$C$22, $C$13, 100%, $E$13)</f>
        <v>17.889700000000001</v>
      </c>
      <c r="F952" s="61">
        <f>17.8897 * CHOOSE(CONTROL!$C$22, $C$13, 100%, $E$13)</f>
        <v>17.889700000000001</v>
      </c>
      <c r="G952" s="61">
        <f>17.8899 * CHOOSE(CONTROL!$C$22, $C$13, 100%, $E$13)</f>
        <v>17.889900000000001</v>
      </c>
      <c r="H952" s="61">
        <f>29.3872* CHOOSE(CONTROL!$C$22, $C$13, 100%, $E$13)</f>
        <v>29.3872</v>
      </c>
      <c r="I952" s="61">
        <f>29.3874 * CHOOSE(CONTROL!$C$22, $C$13, 100%, $E$13)</f>
        <v>29.3874</v>
      </c>
      <c r="J952" s="61">
        <f>17.2252 * CHOOSE(CONTROL!$C$22, $C$13, 100%, $E$13)</f>
        <v>17.225200000000001</v>
      </c>
      <c r="K952" s="61">
        <f>17.8899 * CHOOSE(CONTROL!$C$22, $C$13, 100%, $E$13)</f>
        <v>17.889900000000001</v>
      </c>
    </row>
    <row r="953" spans="1:11" ht="15">
      <c r="A953" s="13">
        <v>70860</v>
      </c>
      <c r="B953" s="60">
        <f>14.7095 * CHOOSE(CONTROL!$C$22, $C$13, 100%, $E$13)</f>
        <v>14.7095</v>
      </c>
      <c r="C953" s="60">
        <f>14.7095 * CHOOSE(CONTROL!$C$22, $C$13, 100%, $E$13)</f>
        <v>14.7095</v>
      </c>
      <c r="D953" s="60">
        <f>14.7283 * CHOOSE(CONTROL!$C$22, $C$13, 100%, $E$13)</f>
        <v>14.728300000000001</v>
      </c>
      <c r="E953" s="61">
        <f>17.9487 * CHOOSE(CONTROL!$C$22, $C$13, 100%, $E$13)</f>
        <v>17.948699999999999</v>
      </c>
      <c r="F953" s="61">
        <f>17.9487 * CHOOSE(CONTROL!$C$22, $C$13, 100%, $E$13)</f>
        <v>17.948699999999999</v>
      </c>
      <c r="G953" s="61">
        <f>17.9489 * CHOOSE(CONTROL!$C$22, $C$13, 100%, $E$13)</f>
        <v>17.948899999999998</v>
      </c>
      <c r="H953" s="61">
        <f>29.1236* CHOOSE(CONTROL!$C$22, $C$13, 100%, $E$13)</f>
        <v>29.1236</v>
      </c>
      <c r="I953" s="61">
        <f>29.1238 * CHOOSE(CONTROL!$C$22, $C$13, 100%, $E$13)</f>
        <v>29.123799999999999</v>
      </c>
      <c r="J953" s="61">
        <f>17.2696 * CHOOSE(CONTROL!$C$22, $C$13, 100%, $E$13)</f>
        <v>17.269600000000001</v>
      </c>
      <c r="K953" s="61">
        <f>17.9489 * CHOOSE(CONTROL!$C$22, $C$13, 100%, $E$13)</f>
        <v>17.948899999999998</v>
      </c>
    </row>
    <row r="954" spans="1:11" ht="15">
      <c r="A954" s="13">
        <v>70891</v>
      </c>
      <c r="B954" s="60">
        <f>14.7065 * CHOOSE(CONTROL!$C$22, $C$13, 100%, $E$13)</f>
        <v>14.7065</v>
      </c>
      <c r="C954" s="60">
        <f>14.7065 * CHOOSE(CONTROL!$C$22, $C$13, 100%, $E$13)</f>
        <v>14.7065</v>
      </c>
      <c r="D954" s="60">
        <f>14.7253 * CHOOSE(CONTROL!$C$22, $C$13, 100%, $E$13)</f>
        <v>14.725300000000001</v>
      </c>
      <c r="E954" s="61">
        <f>17.6451 * CHOOSE(CONTROL!$C$22, $C$13, 100%, $E$13)</f>
        <v>17.645099999999999</v>
      </c>
      <c r="F954" s="61">
        <f>17.6451 * CHOOSE(CONTROL!$C$22, $C$13, 100%, $E$13)</f>
        <v>17.645099999999999</v>
      </c>
      <c r="G954" s="61">
        <f>17.6452 * CHOOSE(CONTROL!$C$22, $C$13, 100%, $E$13)</f>
        <v>17.645199999999999</v>
      </c>
      <c r="H954" s="61">
        <f>29.1843* CHOOSE(CONTROL!$C$22, $C$13, 100%, $E$13)</f>
        <v>29.1843</v>
      </c>
      <c r="I954" s="61">
        <f>29.1844 * CHOOSE(CONTROL!$C$22, $C$13, 100%, $E$13)</f>
        <v>29.1844</v>
      </c>
      <c r="J954" s="61">
        <f>16.9796 * CHOOSE(CONTROL!$C$22, $C$13, 100%, $E$13)</f>
        <v>16.979600000000001</v>
      </c>
      <c r="K954" s="61">
        <f>17.6452 * CHOOSE(CONTROL!$C$22, $C$13, 100%, $E$13)</f>
        <v>17.645199999999999</v>
      </c>
    </row>
    <row r="955" spans="1:11" ht="15">
      <c r="A955" s="13">
        <v>70919</v>
      </c>
      <c r="B955" s="60">
        <f>14.7034 * CHOOSE(CONTROL!$C$22, $C$13, 100%, $E$13)</f>
        <v>14.7034</v>
      </c>
      <c r="C955" s="60">
        <f>14.7034 * CHOOSE(CONTROL!$C$22, $C$13, 100%, $E$13)</f>
        <v>14.7034</v>
      </c>
      <c r="D955" s="60">
        <f>14.7222 * CHOOSE(CONTROL!$C$22, $C$13, 100%, $E$13)</f>
        <v>14.722200000000001</v>
      </c>
      <c r="E955" s="61">
        <f>17.8807 * CHOOSE(CONTROL!$C$22, $C$13, 100%, $E$13)</f>
        <v>17.880700000000001</v>
      </c>
      <c r="F955" s="61">
        <f>17.8807 * CHOOSE(CONTROL!$C$22, $C$13, 100%, $E$13)</f>
        <v>17.880700000000001</v>
      </c>
      <c r="G955" s="61">
        <f>17.8808 * CHOOSE(CONTROL!$C$22, $C$13, 100%, $E$13)</f>
        <v>17.880800000000001</v>
      </c>
      <c r="H955" s="61">
        <f>29.2451* CHOOSE(CONTROL!$C$22, $C$13, 100%, $E$13)</f>
        <v>29.245100000000001</v>
      </c>
      <c r="I955" s="61">
        <f>29.2452 * CHOOSE(CONTROL!$C$22, $C$13, 100%, $E$13)</f>
        <v>29.245200000000001</v>
      </c>
      <c r="J955" s="61">
        <f>17.2044 * CHOOSE(CONTROL!$C$22, $C$13, 100%, $E$13)</f>
        <v>17.2044</v>
      </c>
      <c r="K955" s="61">
        <f>17.8808 * CHOOSE(CONTROL!$C$22, $C$13, 100%, $E$13)</f>
        <v>17.880800000000001</v>
      </c>
    </row>
    <row r="956" spans="1:11" ht="15">
      <c r="A956" s="13">
        <v>70950</v>
      </c>
      <c r="B956" s="60">
        <f>14.7116 * CHOOSE(CONTROL!$C$22, $C$13, 100%, $E$13)</f>
        <v>14.711600000000001</v>
      </c>
      <c r="C956" s="60">
        <f>14.7116 * CHOOSE(CONTROL!$C$22, $C$13, 100%, $E$13)</f>
        <v>14.711600000000001</v>
      </c>
      <c r="D956" s="60">
        <f>14.7304 * CHOOSE(CONTROL!$C$22, $C$13, 100%, $E$13)</f>
        <v>14.730399999999999</v>
      </c>
      <c r="E956" s="61">
        <f>18.1317 * CHOOSE(CONTROL!$C$22, $C$13, 100%, $E$13)</f>
        <v>18.131699999999999</v>
      </c>
      <c r="F956" s="61">
        <f>18.1317 * CHOOSE(CONTROL!$C$22, $C$13, 100%, $E$13)</f>
        <v>18.131699999999999</v>
      </c>
      <c r="G956" s="61">
        <f>18.1319 * CHOOSE(CONTROL!$C$22, $C$13, 100%, $E$13)</f>
        <v>18.131900000000002</v>
      </c>
      <c r="H956" s="61">
        <f>29.306* CHOOSE(CONTROL!$C$22, $C$13, 100%, $E$13)</f>
        <v>29.306000000000001</v>
      </c>
      <c r="I956" s="61">
        <f>29.3062 * CHOOSE(CONTROL!$C$22, $C$13, 100%, $E$13)</f>
        <v>29.3062</v>
      </c>
      <c r="J956" s="61">
        <f>17.4439 * CHOOSE(CONTROL!$C$22, $C$13, 100%, $E$13)</f>
        <v>17.443899999999999</v>
      </c>
      <c r="K956" s="61">
        <f>18.1319 * CHOOSE(CONTROL!$C$22, $C$13, 100%, $E$13)</f>
        <v>18.131900000000002</v>
      </c>
    </row>
    <row r="957" spans="1:11" ht="15">
      <c r="A957" s="13">
        <v>70980</v>
      </c>
      <c r="B957" s="60">
        <f>14.7116 * CHOOSE(CONTROL!$C$22, $C$13, 100%, $E$13)</f>
        <v>14.711600000000001</v>
      </c>
      <c r="C957" s="60">
        <f>14.7116 * CHOOSE(CONTROL!$C$22, $C$13, 100%, $E$13)</f>
        <v>14.711600000000001</v>
      </c>
      <c r="D957" s="60">
        <f>14.7493 * CHOOSE(CONTROL!$C$22, $C$13, 100%, $E$13)</f>
        <v>14.7493</v>
      </c>
      <c r="E957" s="61">
        <f>18.2275 * CHOOSE(CONTROL!$C$22, $C$13, 100%, $E$13)</f>
        <v>18.227499999999999</v>
      </c>
      <c r="F957" s="61">
        <f>18.2275 * CHOOSE(CONTROL!$C$22, $C$13, 100%, $E$13)</f>
        <v>18.227499999999999</v>
      </c>
      <c r="G957" s="61">
        <f>18.2298 * CHOOSE(CONTROL!$C$22, $C$13, 100%, $E$13)</f>
        <v>18.229800000000001</v>
      </c>
      <c r="H957" s="61">
        <f>29.3671* CHOOSE(CONTROL!$C$22, $C$13, 100%, $E$13)</f>
        <v>29.367100000000001</v>
      </c>
      <c r="I957" s="61">
        <f>29.3694 * CHOOSE(CONTROL!$C$22, $C$13, 100%, $E$13)</f>
        <v>29.369399999999999</v>
      </c>
      <c r="J957" s="61">
        <f>17.5353 * CHOOSE(CONTROL!$C$22, $C$13, 100%, $E$13)</f>
        <v>17.535299999999999</v>
      </c>
      <c r="K957" s="61">
        <f>18.2298 * CHOOSE(CONTROL!$C$22, $C$13, 100%, $E$13)</f>
        <v>18.229800000000001</v>
      </c>
    </row>
    <row r="958" spans="1:11" ht="15">
      <c r="A958" s="13">
        <v>71011</v>
      </c>
      <c r="B958" s="60">
        <f>14.7177 * CHOOSE(CONTROL!$C$22, $C$13, 100%, $E$13)</f>
        <v>14.717700000000001</v>
      </c>
      <c r="C958" s="60">
        <f>14.7177 * CHOOSE(CONTROL!$C$22, $C$13, 100%, $E$13)</f>
        <v>14.717700000000001</v>
      </c>
      <c r="D958" s="60">
        <f>14.7553 * CHOOSE(CONTROL!$C$22, $C$13, 100%, $E$13)</f>
        <v>14.7553</v>
      </c>
      <c r="E958" s="61">
        <f>18.136 * CHOOSE(CONTROL!$C$22, $C$13, 100%, $E$13)</f>
        <v>18.135999999999999</v>
      </c>
      <c r="F958" s="61">
        <f>18.136 * CHOOSE(CONTROL!$C$22, $C$13, 100%, $E$13)</f>
        <v>18.135999999999999</v>
      </c>
      <c r="G958" s="61">
        <f>18.1383 * CHOOSE(CONTROL!$C$22, $C$13, 100%, $E$13)</f>
        <v>18.138300000000001</v>
      </c>
      <c r="H958" s="61">
        <f>29.4282* CHOOSE(CONTROL!$C$22, $C$13, 100%, $E$13)</f>
        <v>29.4282</v>
      </c>
      <c r="I958" s="61">
        <f>29.4305 * CHOOSE(CONTROL!$C$22, $C$13, 100%, $E$13)</f>
        <v>29.430499999999999</v>
      </c>
      <c r="J958" s="61">
        <f>17.4482 * CHOOSE(CONTROL!$C$22, $C$13, 100%, $E$13)</f>
        <v>17.4482</v>
      </c>
      <c r="K958" s="61">
        <f>18.1383 * CHOOSE(CONTROL!$C$22, $C$13, 100%, $E$13)</f>
        <v>18.138300000000001</v>
      </c>
    </row>
    <row r="959" spans="1:11" ht="15">
      <c r="A959" s="13">
        <v>71041</v>
      </c>
      <c r="B959" s="60">
        <f>14.9194 * CHOOSE(CONTROL!$C$22, $C$13, 100%, $E$13)</f>
        <v>14.9194</v>
      </c>
      <c r="C959" s="60">
        <f>14.9194 * CHOOSE(CONTROL!$C$22, $C$13, 100%, $E$13)</f>
        <v>14.9194</v>
      </c>
      <c r="D959" s="60">
        <f>14.957 * CHOOSE(CONTROL!$C$22, $C$13, 100%, $E$13)</f>
        <v>14.957000000000001</v>
      </c>
      <c r="E959" s="61">
        <f>18.4627 * CHOOSE(CONTROL!$C$22, $C$13, 100%, $E$13)</f>
        <v>18.462700000000002</v>
      </c>
      <c r="F959" s="61">
        <f>18.4627 * CHOOSE(CONTROL!$C$22, $C$13, 100%, $E$13)</f>
        <v>18.462700000000002</v>
      </c>
      <c r="G959" s="61">
        <f>18.465 * CHOOSE(CONTROL!$C$22, $C$13, 100%, $E$13)</f>
        <v>18.465</v>
      </c>
      <c r="H959" s="61">
        <f>29.4895* CHOOSE(CONTROL!$C$22, $C$13, 100%, $E$13)</f>
        <v>29.4895</v>
      </c>
      <c r="I959" s="61">
        <f>29.4919 * CHOOSE(CONTROL!$C$22, $C$13, 100%, $E$13)</f>
        <v>29.491900000000001</v>
      </c>
      <c r="J959" s="61">
        <f>17.7631 * CHOOSE(CONTROL!$C$22, $C$13, 100%, $E$13)</f>
        <v>17.763100000000001</v>
      </c>
      <c r="K959" s="61">
        <f>18.465 * CHOOSE(CONTROL!$C$22, $C$13, 100%, $E$13)</f>
        <v>18.465</v>
      </c>
    </row>
    <row r="960" spans="1:11" ht="15">
      <c r="A960" s="13">
        <v>71072</v>
      </c>
      <c r="B960" s="60">
        <f>14.9261 * CHOOSE(CONTROL!$C$22, $C$13, 100%, $E$13)</f>
        <v>14.9261</v>
      </c>
      <c r="C960" s="60">
        <f>14.9261 * CHOOSE(CONTROL!$C$22, $C$13, 100%, $E$13)</f>
        <v>14.9261</v>
      </c>
      <c r="D960" s="60">
        <f>14.9637 * CHOOSE(CONTROL!$C$22, $C$13, 100%, $E$13)</f>
        <v>14.963699999999999</v>
      </c>
      <c r="E960" s="61">
        <f>18.1801 * CHOOSE(CONTROL!$C$22, $C$13, 100%, $E$13)</f>
        <v>18.180099999999999</v>
      </c>
      <c r="F960" s="61">
        <f>18.1801 * CHOOSE(CONTROL!$C$22, $C$13, 100%, $E$13)</f>
        <v>18.180099999999999</v>
      </c>
      <c r="G960" s="61">
        <f>18.1824 * CHOOSE(CONTROL!$C$22, $C$13, 100%, $E$13)</f>
        <v>18.182400000000001</v>
      </c>
      <c r="H960" s="61">
        <f>29.551* CHOOSE(CONTROL!$C$22, $C$13, 100%, $E$13)</f>
        <v>29.550999999999998</v>
      </c>
      <c r="I960" s="61">
        <f>29.5533 * CHOOSE(CONTROL!$C$22, $C$13, 100%, $E$13)</f>
        <v>29.5533</v>
      </c>
      <c r="J960" s="61">
        <f>17.4935 * CHOOSE(CONTROL!$C$22, $C$13, 100%, $E$13)</f>
        <v>17.493500000000001</v>
      </c>
      <c r="K960" s="61">
        <f>18.1824 * CHOOSE(CONTROL!$C$22, $C$13, 100%, $E$13)</f>
        <v>18.182400000000001</v>
      </c>
    </row>
    <row r="961" spans="1:11" ht="15">
      <c r="A961" s="13">
        <v>71103</v>
      </c>
      <c r="B961" s="60">
        <f>14.9231 * CHOOSE(CONTROL!$C$22, $C$13, 100%, $E$13)</f>
        <v>14.9231</v>
      </c>
      <c r="C961" s="60">
        <f>14.9231 * CHOOSE(CONTROL!$C$22, $C$13, 100%, $E$13)</f>
        <v>14.9231</v>
      </c>
      <c r="D961" s="60">
        <f>14.9607 * CHOOSE(CONTROL!$C$22, $C$13, 100%, $E$13)</f>
        <v>14.960699999999999</v>
      </c>
      <c r="E961" s="61">
        <f>18.1461 * CHOOSE(CONTROL!$C$22, $C$13, 100%, $E$13)</f>
        <v>18.146100000000001</v>
      </c>
      <c r="F961" s="61">
        <f>18.1461 * CHOOSE(CONTROL!$C$22, $C$13, 100%, $E$13)</f>
        <v>18.146100000000001</v>
      </c>
      <c r="G961" s="61">
        <f>18.1484 * CHOOSE(CONTROL!$C$22, $C$13, 100%, $E$13)</f>
        <v>18.148399999999999</v>
      </c>
      <c r="H961" s="61">
        <f>29.6125* CHOOSE(CONTROL!$C$22, $C$13, 100%, $E$13)</f>
        <v>29.612500000000001</v>
      </c>
      <c r="I961" s="61">
        <f>29.6149 * CHOOSE(CONTROL!$C$22, $C$13, 100%, $E$13)</f>
        <v>29.614899999999999</v>
      </c>
      <c r="J961" s="61">
        <f>17.4609 * CHOOSE(CONTROL!$C$22, $C$13, 100%, $E$13)</f>
        <v>17.460899999999999</v>
      </c>
      <c r="K961" s="61">
        <f>18.1484 * CHOOSE(CONTROL!$C$22, $C$13, 100%, $E$13)</f>
        <v>18.148399999999999</v>
      </c>
    </row>
    <row r="962" spans="1:11" ht="15">
      <c r="A962" s="13">
        <v>71133</v>
      </c>
      <c r="B962" s="60">
        <f>14.9596 * CHOOSE(CONTROL!$C$22, $C$13, 100%, $E$13)</f>
        <v>14.9596</v>
      </c>
      <c r="C962" s="60">
        <f>14.9596 * CHOOSE(CONTROL!$C$22, $C$13, 100%, $E$13)</f>
        <v>14.9596</v>
      </c>
      <c r="D962" s="60">
        <f>14.9785 * CHOOSE(CONTROL!$C$22, $C$13, 100%, $E$13)</f>
        <v>14.9785</v>
      </c>
      <c r="E962" s="61">
        <f>18.2603 * CHOOSE(CONTROL!$C$22, $C$13, 100%, $E$13)</f>
        <v>18.260300000000001</v>
      </c>
      <c r="F962" s="61">
        <f>18.2603 * CHOOSE(CONTROL!$C$22, $C$13, 100%, $E$13)</f>
        <v>18.260300000000001</v>
      </c>
      <c r="G962" s="61">
        <f>18.2605 * CHOOSE(CONTROL!$C$22, $C$13, 100%, $E$13)</f>
        <v>18.2605</v>
      </c>
      <c r="H962" s="61">
        <f>29.6742* CHOOSE(CONTROL!$C$22, $C$13, 100%, $E$13)</f>
        <v>29.674199999999999</v>
      </c>
      <c r="I962" s="61">
        <f>29.6744 * CHOOSE(CONTROL!$C$22, $C$13, 100%, $E$13)</f>
        <v>29.674399999999999</v>
      </c>
      <c r="J962" s="61">
        <f>17.5694 * CHOOSE(CONTROL!$C$22, $C$13, 100%, $E$13)</f>
        <v>17.569400000000002</v>
      </c>
      <c r="K962" s="61">
        <f>18.2605 * CHOOSE(CONTROL!$C$22, $C$13, 100%, $E$13)</f>
        <v>18.2605</v>
      </c>
    </row>
    <row r="963" spans="1:11" ht="15">
      <c r="A963" s="13">
        <v>71164</v>
      </c>
      <c r="B963" s="60">
        <f>14.9627 * CHOOSE(CONTROL!$C$22, $C$13, 100%, $E$13)</f>
        <v>14.9627</v>
      </c>
      <c r="C963" s="60">
        <f>14.9627 * CHOOSE(CONTROL!$C$22, $C$13, 100%, $E$13)</f>
        <v>14.9627</v>
      </c>
      <c r="D963" s="60">
        <f>14.9815 * CHOOSE(CONTROL!$C$22, $C$13, 100%, $E$13)</f>
        <v>14.9815</v>
      </c>
      <c r="E963" s="61">
        <f>18.3263 * CHOOSE(CONTROL!$C$22, $C$13, 100%, $E$13)</f>
        <v>18.3263</v>
      </c>
      <c r="F963" s="61">
        <f>18.3263 * CHOOSE(CONTROL!$C$22, $C$13, 100%, $E$13)</f>
        <v>18.3263</v>
      </c>
      <c r="G963" s="61">
        <f>18.3264 * CHOOSE(CONTROL!$C$22, $C$13, 100%, $E$13)</f>
        <v>18.3264</v>
      </c>
      <c r="H963" s="61">
        <f>29.7361* CHOOSE(CONTROL!$C$22, $C$13, 100%, $E$13)</f>
        <v>29.7361</v>
      </c>
      <c r="I963" s="61">
        <f>29.7362 * CHOOSE(CONTROL!$C$22, $C$13, 100%, $E$13)</f>
        <v>29.7362</v>
      </c>
      <c r="J963" s="61">
        <f>17.6324 * CHOOSE(CONTROL!$C$22, $C$13, 100%, $E$13)</f>
        <v>17.632400000000001</v>
      </c>
      <c r="K963" s="61">
        <f>18.3264 * CHOOSE(CONTROL!$C$22, $C$13, 100%, $E$13)</f>
        <v>18.3264</v>
      </c>
    </row>
    <row r="964" spans="1:11" ht="15">
      <c r="A964" s="13">
        <v>71194</v>
      </c>
      <c r="B964" s="60">
        <f>14.9627 * CHOOSE(CONTROL!$C$22, $C$13, 100%, $E$13)</f>
        <v>14.9627</v>
      </c>
      <c r="C964" s="60">
        <f>14.9627 * CHOOSE(CONTROL!$C$22, $C$13, 100%, $E$13)</f>
        <v>14.9627</v>
      </c>
      <c r="D964" s="60">
        <f>14.9815 * CHOOSE(CONTROL!$C$22, $C$13, 100%, $E$13)</f>
        <v>14.9815</v>
      </c>
      <c r="E964" s="61">
        <f>18.1667 * CHOOSE(CONTROL!$C$22, $C$13, 100%, $E$13)</f>
        <v>18.166699999999999</v>
      </c>
      <c r="F964" s="61">
        <f>18.1667 * CHOOSE(CONTROL!$C$22, $C$13, 100%, $E$13)</f>
        <v>18.166699999999999</v>
      </c>
      <c r="G964" s="61">
        <f>18.1669 * CHOOSE(CONTROL!$C$22, $C$13, 100%, $E$13)</f>
        <v>18.166899999999998</v>
      </c>
      <c r="H964" s="61">
        <f>29.798* CHOOSE(CONTROL!$C$22, $C$13, 100%, $E$13)</f>
        <v>29.797999999999998</v>
      </c>
      <c r="I964" s="61">
        <f>29.7982 * CHOOSE(CONTROL!$C$22, $C$13, 100%, $E$13)</f>
        <v>29.798200000000001</v>
      </c>
      <c r="J964" s="61">
        <f>17.4801 * CHOOSE(CONTROL!$C$22, $C$13, 100%, $E$13)</f>
        <v>17.4801</v>
      </c>
      <c r="K964" s="61">
        <f>18.1669 * CHOOSE(CONTROL!$C$22, $C$13, 100%, $E$13)</f>
        <v>18.166899999999998</v>
      </c>
    </row>
    <row r="965" spans="1:11" ht="15">
      <c r="A965" s="13">
        <v>71225</v>
      </c>
      <c r="B965" s="60">
        <f>14.9215 * CHOOSE(CONTROL!$C$22, $C$13, 100%, $E$13)</f>
        <v>14.9215</v>
      </c>
      <c r="C965" s="60">
        <f>14.9215 * CHOOSE(CONTROL!$C$22, $C$13, 100%, $E$13)</f>
        <v>14.9215</v>
      </c>
      <c r="D965" s="60">
        <f>14.9403 * CHOOSE(CONTROL!$C$22, $C$13, 100%, $E$13)</f>
        <v>14.940300000000001</v>
      </c>
      <c r="E965" s="61">
        <f>18.2225 * CHOOSE(CONTROL!$C$22, $C$13, 100%, $E$13)</f>
        <v>18.2225</v>
      </c>
      <c r="F965" s="61">
        <f>18.2225 * CHOOSE(CONTROL!$C$22, $C$13, 100%, $E$13)</f>
        <v>18.2225</v>
      </c>
      <c r="G965" s="61">
        <f>18.2227 * CHOOSE(CONTROL!$C$22, $C$13, 100%, $E$13)</f>
        <v>18.2227</v>
      </c>
      <c r="H965" s="61">
        <f>29.5251* CHOOSE(CONTROL!$C$22, $C$13, 100%, $E$13)</f>
        <v>29.525099999999998</v>
      </c>
      <c r="I965" s="61">
        <f>29.5252 * CHOOSE(CONTROL!$C$22, $C$13, 100%, $E$13)</f>
        <v>29.525200000000002</v>
      </c>
      <c r="J965" s="61">
        <f>17.5214 * CHOOSE(CONTROL!$C$22, $C$13, 100%, $E$13)</f>
        <v>17.5214</v>
      </c>
      <c r="K965" s="61">
        <f>18.2227 * CHOOSE(CONTROL!$C$22, $C$13, 100%, $E$13)</f>
        <v>18.2227</v>
      </c>
    </row>
    <row r="966" spans="1:11" ht="15">
      <c r="A966" s="13">
        <v>71256</v>
      </c>
      <c r="B966" s="60">
        <f>14.9185 * CHOOSE(CONTROL!$C$22, $C$13, 100%, $E$13)</f>
        <v>14.9185</v>
      </c>
      <c r="C966" s="60">
        <f>14.9185 * CHOOSE(CONTROL!$C$22, $C$13, 100%, $E$13)</f>
        <v>14.9185</v>
      </c>
      <c r="D966" s="60">
        <f>14.9373 * CHOOSE(CONTROL!$C$22, $C$13, 100%, $E$13)</f>
        <v>14.9373</v>
      </c>
      <c r="E966" s="61">
        <f>17.9139 * CHOOSE(CONTROL!$C$22, $C$13, 100%, $E$13)</f>
        <v>17.913900000000002</v>
      </c>
      <c r="F966" s="61">
        <f>17.9139 * CHOOSE(CONTROL!$C$22, $C$13, 100%, $E$13)</f>
        <v>17.913900000000002</v>
      </c>
      <c r="G966" s="61">
        <f>17.9141 * CHOOSE(CONTROL!$C$22, $C$13, 100%, $E$13)</f>
        <v>17.914100000000001</v>
      </c>
      <c r="H966" s="61">
        <f>29.5866* CHOOSE(CONTROL!$C$22, $C$13, 100%, $E$13)</f>
        <v>29.586600000000001</v>
      </c>
      <c r="I966" s="61">
        <f>29.5867 * CHOOSE(CONTROL!$C$22, $C$13, 100%, $E$13)</f>
        <v>29.5867</v>
      </c>
      <c r="J966" s="61">
        <f>17.2269 * CHOOSE(CONTROL!$C$22, $C$13, 100%, $E$13)</f>
        <v>17.226900000000001</v>
      </c>
      <c r="K966" s="61">
        <f>17.9141 * CHOOSE(CONTROL!$C$22, $C$13, 100%, $E$13)</f>
        <v>17.914100000000001</v>
      </c>
    </row>
    <row r="967" spans="1:11" ht="15">
      <c r="A967" s="13">
        <v>71284</v>
      </c>
      <c r="B967" s="60">
        <f>14.9154 * CHOOSE(CONTROL!$C$22, $C$13, 100%, $E$13)</f>
        <v>14.9154</v>
      </c>
      <c r="C967" s="60">
        <f>14.9154 * CHOOSE(CONTROL!$C$22, $C$13, 100%, $E$13)</f>
        <v>14.9154</v>
      </c>
      <c r="D967" s="60">
        <f>14.9342 * CHOOSE(CONTROL!$C$22, $C$13, 100%, $E$13)</f>
        <v>14.934200000000001</v>
      </c>
      <c r="E967" s="61">
        <f>18.1534 * CHOOSE(CONTROL!$C$22, $C$13, 100%, $E$13)</f>
        <v>18.153400000000001</v>
      </c>
      <c r="F967" s="61">
        <f>18.1534 * CHOOSE(CONTROL!$C$22, $C$13, 100%, $E$13)</f>
        <v>18.153400000000001</v>
      </c>
      <c r="G967" s="61">
        <f>18.1536 * CHOOSE(CONTROL!$C$22, $C$13, 100%, $E$13)</f>
        <v>18.153600000000001</v>
      </c>
      <c r="H967" s="61">
        <f>29.6482* CHOOSE(CONTROL!$C$22, $C$13, 100%, $E$13)</f>
        <v>29.648199999999999</v>
      </c>
      <c r="I967" s="61">
        <f>29.6484 * CHOOSE(CONTROL!$C$22, $C$13, 100%, $E$13)</f>
        <v>29.648399999999999</v>
      </c>
      <c r="J967" s="61">
        <f>17.4553 * CHOOSE(CONTROL!$C$22, $C$13, 100%, $E$13)</f>
        <v>17.455300000000001</v>
      </c>
      <c r="K967" s="61">
        <f>18.1536 * CHOOSE(CONTROL!$C$22, $C$13, 100%, $E$13)</f>
        <v>18.153600000000001</v>
      </c>
    </row>
    <row r="968" spans="1:11" ht="15">
      <c r="A968" s="13">
        <v>71315</v>
      </c>
      <c r="B968" s="60">
        <f>14.9239 * CHOOSE(CONTROL!$C$22, $C$13, 100%, $E$13)</f>
        <v>14.9239</v>
      </c>
      <c r="C968" s="60">
        <f>14.9239 * CHOOSE(CONTROL!$C$22, $C$13, 100%, $E$13)</f>
        <v>14.9239</v>
      </c>
      <c r="D968" s="60">
        <f>14.9427 * CHOOSE(CONTROL!$C$22, $C$13, 100%, $E$13)</f>
        <v>14.9427</v>
      </c>
      <c r="E968" s="61">
        <f>18.4086 * CHOOSE(CONTROL!$C$22, $C$13, 100%, $E$13)</f>
        <v>18.4086</v>
      </c>
      <c r="F968" s="61">
        <f>18.4086 * CHOOSE(CONTROL!$C$22, $C$13, 100%, $E$13)</f>
        <v>18.4086</v>
      </c>
      <c r="G968" s="61">
        <f>18.4088 * CHOOSE(CONTROL!$C$22, $C$13, 100%, $E$13)</f>
        <v>18.408799999999999</v>
      </c>
      <c r="H968" s="61">
        <f>29.71* CHOOSE(CONTROL!$C$22, $C$13, 100%, $E$13)</f>
        <v>29.71</v>
      </c>
      <c r="I968" s="61">
        <f>29.7102 * CHOOSE(CONTROL!$C$22, $C$13, 100%, $E$13)</f>
        <v>29.7102</v>
      </c>
      <c r="J968" s="61">
        <f>17.6986 * CHOOSE(CONTROL!$C$22, $C$13, 100%, $E$13)</f>
        <v>17.698599999999999</v>
      </c>
      <c r="K968" s="61">
        <f>18.4088 * CHOOSE(CONTROL!$C$22, $C$13, 100%, $E$13)</f>
        <v>18.408799999999999</v>
      </c>
    </row>
    <row r="969" spans="1:11" ht="15">
      <c r="A969" s="13">
        <v>71345</v>
      </c>
      <c r="B969" s="60">
        <f>14.9239 * CHOOSE(CONTROL!$C$22, $C$13, 100%, $E$13)</f>
        <v>14.9239</v>
      </c>
      <c r="C969" s="60">
        <f>14.9239 * CHOOSE(CONTROL!$C$22, $C$13, 100%, $E$13)</f>
        <v>14.9239</v>
      </c>
      <c r="D969" s="60">
        <f>14.9615 * CHOOSE(CONTROL!$C$22, $C$13, 100%, $E$13)</f>
        <v>14.961499999999999</v>
      </c>
      <c r="E969" s="61">
        <f>18.5059 * CHOOSE(CONTROL!$C$22, $C$13, 100%, $E$13)</f>
        <v>18.5059</v>
      </c>
      <c r="F969" s="61">
        <f>18.5059 * CHOOSE(CONTROL!$C$22, $C$13, 100%, $E$13)</f>
        <v>18.5059</v>
      </c>
      <c r="G969" s="61">
        <f>18.5082 * CHOOSE(CONTROL!$C$22, $C$13, 100%, $E$13)</f>
        <v>18.508199999999999</v>
      </c>
      <c r="H969" s="61">
        <f>29.7719* CHOOSE(CONTROL!$C$22, $C$13, 100%, $E$13)</f>
        <v>29.771899999999999</v>
      </c>
      <c r="I969" s="61">
        <f>29.7742 * CHOOSE(CONTROL!$C$22, $C$13, 100%, $E$13)</f>
        <v>29.7742</v>
      </c>
      <c r="J969" s="61">
        <f>17.7914 * CHOOSE(CONTROL!$C$22, $C$13, 100%, $E$13)</f>
        <v>17.791399999999999</v>
      </c>
      <c r="K969" s="61">
        <f>18.5082 * CHOOSE(CONTROL!$C$22, $C$13, 100%, $E$13)</f>
        <v>18.508199999999999</v>
      </c>
    </row>
    <row r="970" spans="1:11" ht="15">
      <c r="A970" s="13">
        <v>71376</v>
      </c>
      <c r="B970" s="60">
        <f>14.9299 * CHOOSE(CONTROL!$C$22, $C$13, 100%, $E$13)</f>
        <v>14.9299</v>
      </c>
      <c r="C970" s="60">
        <f>14.9299 * CHOOSE(CONTROL!$C$22, $C$13, 100%, $E$13)</f>
        <v>14.9299</v>
      </c>
      <c r="D970" s="60">
        <f>14.9676 * CHOOSE(CONTROL!$C$22, $C$13, 100%, $E$13)</f>
        <v>14.967599999999999</v>
      </c>
      <c r="E970" s="61">
        <f>18.4129 * CHOOSE(CONTROL!$C$22, $C$13, 100%, $E$13)</f>
        <v>18.4129</v>
      </c>
      <c r="F970" s="61">
        <f>18.4129 * CHOOSE(CONTROL!$C$22, $C$13, 100%, $E$13)</f>
        <v>18.4129</v>
      </c>
      <c r="G970" s="61">
        <f>18.4152 * CHOOSE(CONTROL!$C$22, $C$13, 100%, $E$13)</f>
        <v>18.415199999999999</v>
      </c>
      <c r="H970" s="61">
        <f>29.8339* CHOOSE(CONTROL!$C$22, $C$13, 100%, $E$13)</f>
        <v>29.8339</v>
      </c>
      <c r="I970" s="61">
        <f>29.8362 * CHOOSE(CONTROL!$C$22, $C$13, 100%, $E$13)</f>
        <v>29.836200000000002</v>
      </c>
      <c r="J970" s="61">
        <f>17.7028 * CHOOSE(CONTROL!$C$22, $C$13, 100%, $E$13)</f>
        <v>17.7028</v>
      </c>
      <c r="K970" s="61">
        <f>18.4152 * CHOOSE(CONTROL!$C$22, $C$13, 100%, $E$13)</f>
        <v>18.415199999999999</v>
      </c>
    </row>
    <row r="971" spans="1:11" ht="15">
      <c r="A971" s="13">
        <v>71406</v>
      </c>
      <c r="B971" s="60">
        <f>15.1343 * CHOOSE(CONTROL!$C$22, $C$13, 100%, $E$13)</f>
        <v>15.1343</v>
      </c>
      <c r="C971" s="60">
        <f>15.1343 * CHOOSE(CONTROL!$C$22, $C$13, 100%, $E$13)</f>
        <v>15.1343</v>
      </c>
      <c r="D971" s="60">
        <f>15.172 * CHOOSE(CONTROL!$C$22, $C$13, 100%, $E$13)</f>
        <v>15.172000000000001</v>
      </c>
      <c r="E971" s="61">
        <f>18.7443 * CHOOSE(CONTROL!$C$22, $C$13, 100%, $E$13)</f>
        <v>18.744299999999999</v>
      </c>
      <c r="F971" s="61">
        <f>18.7443 * CHOOSE(CONTROL!$C$22, $C$13, 100%, $E$13)</f>
        <v>18.744299999999999</v>
      </c>
      <c r="G971" s="61">
        <f>18.7467 * CHOOSE(CONTROL!$C$22, $C$13, 100%, $E$13)</f>
        <v>18.746700000000001</v>
      </c>
      <c r="H971" s="61">
        <f>29.896* CHOOSE(CONTROL!$C$22, $C$13, 100%, $E$13)</f>
        <v>29.896000000000001</v>
      </c>
      <c r="I971" s="61">
        <f>29.8984 * CHOOSE(CONTROL!$C$22, $C$13, 100%, $E$13)</f>
        <v>29.898399999999999</v>
      </c>
      <c r="J971" s="61">
        <f>18.0222 * CHOOSE(CONTROL!$C$22, $C$13, 100%, $E$13)</f>
        <v>18.022200000000002</v>
      </c>
      <c r="K971" s="61">
        <f>18.7467 * CHOOSE(CONTROL!$C$22, $C$13, 100%, $E$13)</f>
        <v>18.746700000000001</v>
      </c>
    </row>
    <row r="972" spans="1:11" ht="15">
      <c r="A972" s="13">
        <v>71437</v>
      </c>
      <c r="B972" s="60">
        <f>15.141 * CHOOSE(CONTROL!$C$22, $C$13, 100%, $E$13)</f>
        <v>15.141</v>
      </c>
      <c r="C972" s="60">
        <f>15.141 * CHOOSE(CONTROL!$C$22, $C$13, 100%, $E$13)</f>
        <v>15.141</v>
      </c>
      <c r="D972" s="60">
        <f>15.1786 * CHOOSE(CONTROL!$C$22, $C$13, 100%, $E$13)</f>
        <v>15.178599999999999</v>
      </c>
      <c r="E972" s="61">
        <f>18.4571 * CHOOSE(CONTROL!$C$22, $C$13, 100%, $E$13)</f>
        <v>18.457100000000001</v>
      </c>
      <c r="F972" s="61">
        <f>18.4571 * CHOOSE(CONTROL!$C$22, $C$13, 100%, $E$13)</f>
        <v>18.457100000000001</v>
      </c>
      <c r="G972" s="61">
        <f>18.4594 * CHOOSE(CONTROL!$C$22, $C$13, 100%, $E$13)</f>
        <v>18.459399999999999</v>
      </c>
      <c r="H972" s="61">
        <f>29.9583* CHOOSE(CONTROL!$C$22, $C$13, 100%, $E$13)</f>
        <v>29.958300000000001</v>
      </c>
      <c r="I972" s="61">
        <f>29.9606 * CHOOSE(CONTROL!$C$22, $C$13, 100%, $E$13)</f>
        <v>29.960599999999999</v>
      </c>
      <c r="J972" s="61">
        <f>17.7484 * CHOOSE(CONTROL!$C$22, $C$13, 100%, $E$13)</f>
        <v>17.7484</v>
      </c>
      <c r="K972" s="61">
        <f>18.4594 * CHOOSE(CONTROL!$C$22, $C$13, 100%, $E$13)</f>
        <v>18.459399999999999</v>
      </c>
    </row>
    <row r="973" spans="1:11" ht="15">
      <c r="A973" s="13">
        <v>71468</v>
      </c>
      <c r="B973" s="60">
        <f>15.138 * CHOOSE(CONTROL!$C$22, $C$13, 100%, $E$13)</f>
        <v>15.138</v>
      </c>
      <c r="C973" s="60">
        <f>15.138 * CHOOSE(CONTROL!$C$22, $C$13, 100%, $E$13)</f>
        <v>15.138</v>
      </c>
      <c r="D973" s="60">
        <f>15.1756 * CHOOSE(CONTROL!$C$22, $C$13, 100%, $E$13)</f>
        <v>15.175599999999999</v>
      </c>
      <c r="E973" s="61">
        <f>18.4226 * CHOOSE(CONTROL!$C$22, $C$13, 100%, $E$13)</f>
        <v>18.422599999999999</v>
      </c>
      <c r="F973" s="61">
        <f>18.4226 * CHOOSE(CONTROL!$C$22, $C$13, 100%, $E$13)</f>
        <v>18.422599999999999</v>
      </c>
      <c r="G973" s="61">
        <f>18.4249 * CHOOSE(CONTROL!$C$22, $C$13, 100%, $E$13)</f>
        <v>18.424900000000001</v>
      </c>
      <c r="H973" s="61">
        <f>30.0207* CHOOSE(CONTROL!$C$22, $C$13, 100%, $E$13)</f>
        <v>30.020700000000001</v>
      </c>
      <c r="I973" s="61">
        <f>30.0231 * CHOOSE(CONTROL!$C$22, $C$13, 100%, $E$13)</f>
        <v>30.023099999999999</v>
      </c>
      <c r="J973" s="61">
        <f>17.7153 * CHOOSE(CONTROL!$C$22, $C$13, 100%, $E$13)</f>
        <v>17.715299999999999</v>
      </c>
      <c r="K973" s="61">
        <f>18.4249 * CHOOSE(CONTROL!$C$22, $C$13, 100%, $E$13)</f>
        <v>18.424900000000001</v>
      </c>
    </row>
    <row r="974" spans="1:11" ht="15">
      <c r="A974" s="13">
        <v>71498</v>
      </c>
      <c r="B974" s="60">
        <f>15.1754 * CHOOSE(CONTROL!$C$22, $C$13, 100%, $E$13)</f>
        <v>15.1754</v>
      </c>
      <c r="C974" s="60">
        <f>15.1754 * CHOOSE(CONTROL!$C$22, $C$13, 100%, $E$13)</f>
        <v>15.1754</v>
      </c>
      <c r="D974" s="60">
        <f>15.1942 * CHOOSE(CONTROL!$C$22, $C$13, 100%, $E$13)</f>
        <v>15.1942</v>
      </c>
      <c r="E974" s="61">
        <f>18.5389 * CHOOSE(CONTROL!$C$22, $C$13, 100%, $E$13)</f>
        <v>18.538900000000002</v>
      </c>
      <c r="F974" s="61">
        <f>18.5389 * CHOOSE(CONTROL!$C$22, $C$13, 100%, $E$13)</f>
        <v>18.538900000000002</v>
      </c>
      <c r="G974" s="61">
        <f>18.539 * CHOOSE(CONTROL!$C$22, $C$13, 100%, $E$13)</f>
        <v>18.539000000000001</v>
      </c>
      <c r="H974" s="61">
        <f>30.0833* CHOOSE(CONTROL!$C$22, $C$13, 100%, $E$13)</f>
        <v>30.083300000000001</v>
      </c>
      <c r="I974" s="61">
        <f>30.0835 * CHOOSE(CONTROL!$C$22, $C$13, 100%, $E$13)</f>
        <v>30.083500000000001</v>
      </c>
      <c r="J974" s="61">
        <f>17.8256 * CHOOSE(CONTROL!$C$22, $C$13, 100%, $E$13)</f>
        <v>17.825600000000001</v>
      </c>
      <c r="K974" s="61">
        <f>18.539 * CHOOSE(CONTROL!$C$22, $C$13, 100%, $E$13)</f>
        <v>18.539000000000001</v>
      </c>
    </row>
    <row r="975" spans="1:11" ht="15">
      <c r="A975" s="13">
        <v>71529</v>
      </c>
      <c r="B975" s="60">
        <f>15.1784 * CHOOSE(CONTROL!$C$22, $C$13, 100%, $E$13)</f>
        <v>15.1784</v>
      </c>
      <c r="C975" s="60">
        <f>15.1784 * CHOOSE(CONTROL!$C$22, $C$13, 100%, $E$13)</f>
        <v>15.1784</v>
      </c>
      <c r="D975" s="60">
        <f>15.1972 * CHOOSE(CONTROL!$C$22, $C$13, 100%, $E$13)</f>
        <v>15.1972</v>
      </c>
      <c r="E975" s="61">
        <f>18.6059 * CHOOSE(CONTROL!$C$22, $C$13, 100%, $E$13)</f>
        <v>18.605899999999998</v>
      </c>
      <c r="F975" s="61">
        <f>18.6059 * CHOOSE(CONTROL!$C$22, $C$13, 100%, $E$13)</f>
        <v>18.605899999999998</v>
      </c>
      <c r="G975" s="61">
        <f>18.606 * CHOOSE(CONTROL!$C$22, $C$13, 100%, $E$13)</f>
        <v>18.606000000000002</v>
      </c>
      <c r="H975" s="61">
        <f>30.146* CHOOSE(CONTROL!$C$22, $C$13, 100%, $E$13)</f>
        <v>30.146000000000001</v>
      </c>
      <c r="I975" s="61">
        <f>30.1461 * CHOOSE(CONTROL!$C$22, $C$13, 100%, $E$13)</f>
        <v>30.146100000000001</v>
      </c>
      <c r="J975" s="61">
        <f>17.8896 * CHOOSE(CONTROL!$C$22, $C$13, 100%, $E$13)</f>
        <v>17.889600000000002</v>
      </c>
      <c r="K975" s="61">
        <f>18.606 * CHOOSE(CONTROL!$C$22, $C$13, 100%, $E$13)</f>
        <v>18.606000000000002</v>
      </c>
    </row>
    <row r="976" spans="1:11" ht="15">
      <c r="A976" s="13">
        <v>71559</v>
      </c>
      <c r="B976" s="60">
        <f>15.1784 * CHOOSE(CONTROL!$C$22, $C$13, 100%, $E$13)</f>
        <v>15.1784</v>
      </c>
      <c r="C976" s="60">
        <f>15.1784 * CHOOSE(CONTROL!$C$22, $C$13, 100%, $E$13)</f>
        <v>15.1784</v>
      </c>
      <c r="D976" s="60">
        <f>15.1972 * CHOOSE(CONTROL!$C$22, $C$13, 100%, $E$13)</f>
        <v>15.1972</v>
      </c>
      <c r="E976" s="61">
        <f>18.4437 * CHOOSE(CONTROL!$C$22, $C$13, 100%, $E$13)</f>
        <v>18.4437</v>
      </c>
      <c r="F976" s="61">
        <f>18.4437 * CHOOSE(CONTROL!$C$22, $C$13, 100%, $E$13)</f>
        <v>18.4437</v>
      </c>
      <c r="G976" s="61">
        <f>18.4439 * CHOOSE(CONTROL!$C$22, $C$13, 100%, $E$13)</f>
        <v>18.443899999999999</v>
      </c>
      <c r="H976" s="61">
        <f>30.2088* CHOOSE(CONTROL!$C$22, $C$13, 100%, $E$13)</f>
        <v>30.2088</v>
      </c>
      <c r="I976" s="61">
        <f>30.2089 * CHOOSE(CONTROL!$C$22, $C$13, 100%, $E$13)</f>
        <v>30.2089</v>
      </c>
      <c r="J976" s="61">
        <f>17.7349 * CHOOSE(CONTROL!$C$22, $C$13, 100%, $E$13)</f>
        <v>17.7349</v>
      </c>
      <c r="K976" s="61">
        <f>18.4439 * CHOOSE(CONTROL!$C$22, $C$13, 100%, $E$13)</f>
        <v>18.443899999999999</v>
      </c>
    </row>
    <row r="977" spans="1:11" ht="15">
      <c r="A977" s="13">
        <v>71590</v>
      </c>
      <c r="B977" s="60">
        <f>15.1335 * CHOOSE(CONTROL!$C$22, $C$13, 100%, $E$13)</f>
        <v>15.1335</v>
      </c>
      <c r="C977" s="60">
        <f>15.1335 * CHOOSE(CONTROL!$C$22, $C$13, 100%, $E$13)</f>
        <v>15.1335</v>
      </c>
      <c r="D977" s="60">
        <f>15.1523 * CHOOSE(CONTROL!$C$22, $C$13, 100%, $E$13)</f>
        <v>15.1523</v>
      </c>
      <c r="E977" s="61">
        <f>18.4962 * CHOOSE(CONTROL!$C$22, $C$13, 100%, $E$13)</f>
        <v>18.496200000000002</v>
      </c>
      <c r="F977" s="61">
        <f>18.4962 * CHOOSE(CONTROL!$C$22, $C$13, 100%, $E$13)</f>
        <v>18.496200000000002</v>
      </c>
      <c r="G977" s="61">
        <f>18.4964 * CHOOSE(CONTROL!$C$22, $C$13, 100%, $E$13)</f>
        <v>18.496400000000001</v>
      </c>
      <c r="H977" s="61">
        <f>29.9265* CHOOSE(CONTROL!$C$22, $C$13, 100%, $E$13)</f>
        <v>29.926500000000001</v>
      </c>
      <c r="I977" s="61">
        <f>29.9267 * CHOOSE(CONTROL!$C$22, $C$13, 100%, $E$13)</f>
        <v>29.9267</v>
      </c>
      <c r="J977" s="61">
        <f>17.7733 * CHOOSE(CONTROL!$C$22, $C$13, 100%, $E$13)</f>
        <v>17.773299999999999</v>
      </c>
      <c r="K977" s="61">
        <f>18.4964 * CHOOSE(CONTROL!$C$22, $C$13, 100%, $E$13)</f>
        <v>18.496400000000001</v>
      </c>
    </row>
    <row r="978" spans="1:11" ht="15">
      <c r="A978" s="13">
        <v>71621</v>
      </c>
      <c r="B978" s="60">
        <f>15.1305 * CHOOSE(CONTROL!$C$22, $C$13, 100%, $E$13)</f>
        <v>15.1305</v>
      </c>
      <c r="C978" s="60">
        <f>15.1305 * CHOOSE(CONTROL!$C$22, $C$13, 100%, $E$13)</f>
        <v>15.1305</v>
      </c>
      <c r="D978" s="60">
        <f>15.1493 * CHOOSE(CONTROL!$C$22, $C$13, 100%, $E$13)</f>
        <v>15.1493</v>
      </c>
      <c r="E978" s="61">
        <f>18.1828 * CHOOSE(CONTROL!$C$22, $C$13, 100%, $E$13)</f>
        <v>18.1828</v>
      </c>
      <c r="F978" s="61">
        <f>18.1828 * CHOOSE(CONTROL!$C$22, $C$13, 100%, $E$13)</f>
        <v>18.1828</v>
      </c>
      <c r="G978" s="61">
        <f>18.1829 * CHOOSE(CONTROL!$C$22, $C$13, 100%, $E$13)</f>
        <v>18.1829</v>
      </c>
      <c r="H978" s="61">
        <f>29.9889* CHOOSE(CONTROL!$C$22, $C$13, 100%, $E$13)</f>
        <v>29.988900000000001</v>
      </c>
      <c r="I978" s="61">
        <f>29.989 * CHOOSE(CONTROL!$C$22, $C$13, 100%, $E$13)</f>
        <v>29.989000000000001</v>
      </c>
      <c r="J978" s="61">
        <f>17.4743 * CHOOSE(CONTROL!$C$22, $C$13, 100%, $E$13)</f>
        <v>17.474299999999999</v>
      </c>
      <c r="K978" s="61">
        <f>18.1829 * CHOOSE(CONTROL!$C$22, $C$13, 100%, $E$13)</f>
        <v>18.1829</v>
      </c>
    </row>
    <row r="979" spans="1:11" ht="15">
      <c r="A979" s="13">
        <v>71650</v>
      </c>
      <c r="B979" s="60">
        <f>15.1274 * CHOOSE(CONTROL!$C$22, $C$13, 100%, $E$13)</f>
        <v>15.1274</v>
      </c>
      <c r="C979" s="60">
        <f>15.1274 * CHOOSE(CONTROL!$C$22, $C$13, 100%, $E$13)</f>
        <v>15.1274</v>
      </c>
      <c r="D979" s="60">
        <f>15.1463 * CHOOSE(CONTROL!$C$22, $C$13, 100%, $E$13)</f>
        <v>15.1463</v>
      </c>
      <c r="E979" s="61">
        <f>18.4261 * CHOOSE(CONTROL!$C$22, $C$13, 100%, $E$13)</f>
        <v>18.426100000000002</v>
      </c>
      <c r="F979" s="61">
        <f>18.4261 * CHOOSE(CONTROL!$C$22, $C$13, 100%, $E$13)</f>
        <v>18.426100000000002</v>
      </c>
      <c r="G979" s="61">
        <f>18.4263 * CHOOSE(CONTROL!$C$22, $C$13, 100%, $E$13)</f>
        <v>18.426300000000001</v>
      </c>
      <c r="H979" s="61">
        <f>30.0513* CHOOSE(CONTROL!$C$22, $C$13, 100%, $E$13)</f>
        <v>30.051300000000001</v>
      </c>
      <c r="I979" s="61">
        <f>30.0515 * CHOOSE(CONTROL!$C$22, $C$13, 100%, $E$13)</f>
        <v>30.051500000000001</v>
      </c>
      <c r="J979" s="61">
        <f>17.7062 * CHOOSE(CONTROL!$C$22, $C$13, 100%, $E$13)</f>
        <v>17.706199999999999</v>
      </c>
      <c r="K979" s="61">
        <f>18.4263 * CHOOSE(CONTROL!$C$22, $C$13, 100%, $E$13)</f>
        <v>18.426300000000001</v>
      </c>
    </row>
    <row r="980" spans="1:11" ht="15">
      <c r="A980" s="13">
        <v>71681</v>
      </c>
      <c r="B980" s="60">
        <f>15.1361 * CHOOSE(CONTROL!$C$22, $C$13, 100%, $E$13)</f>
        <v>15.136100000000001</v>
      </c>
      <c r="C980" s="60">
        <f>15.1361 * CHOOSE(CONTROL!$C$22, $C$13, 100%, $E$13)</f>
        <v>15.136100000000001</v>
      </c>
      <c r="D980" s="60">
        <f>15.1549 * CHOOSE(CONTROL!$C$22, $C$13, 100%, $E$13)</f>
        <v>15.1549</v>
      </c>
      <c r="E980" s="61">
        <f>18.6855 * CHOOSE(CONTROL!$C$22, $C$13, 100%, $E$13)</f>
        <v>18.685500000000001</v>
      </c>
      <c r="F980" s="61">
        <f>18.6855 * CHOOSE(CONTROL!$C$22, $C$13, 100%, $E$13)</f>
        <v>18.685500000000001</v>
      </c>
      <c r="G980" s="61">
        <f>18.6857 * CHOOSE(CONTROL!$C$22, $C$13, 100%, $E$13)</f>
        <v>18.685700000000001</v>
      </c>
      <c r="H980" s="61">
        <f>30.114* CHOOSE(CONTROL!$C$22, $C$13, 100%, $E$13)</f>
        <v>30.114000000000001</v>
      </c>
      <c r="I980" s="61">
        <f>30.1141 * CHOOSE(CONTROL!$C$22, $C$13, 100%, $E$13)</f>
        <v>30.114100000000001</v>
      </c>
      <c r="J980" s="61">
        <f>17.9533 * CHOOSE(CONTROL!$C$22, $C$13, 100%, $E$13)</f>
        <v>17.953299999999999</v>
      </c>
      <c r="K980" s="61">
        <f>18.6857 * CHOOSE(CONTROL!$C$22, $C$13, 100%, $E$13)</f>
        <v>18.685700000000001</v>
      </c>
    </row>
    <row r="981" spans="1:11" ht="15">
      <c r="A981" s="13">
        <v>71711</v>
      </c>
      <c r="B981" s="60">
        <f>15.1361 * CHOOSE(CONTROL!$C$22, $C$13, 100%, $E$13)</f>
        <v>15.136100000000001</v>
      </c>
      <c r="C981" s="60">
        <f>15.1361 * CHOOSE(CONTROL!$C$22, $C$13, 100%, $E$13)</f>
        <v>15.136100000000001</v>
      </c>
      <c r="D981" s="60">
        <f>15.1737 * CHOOSE(CONTROL!$C$22, $C$13, 100%, $E$13)</f>
        <v>15.1737</v>
      </c>
      <c r="E981" s="61">
        <f>18.7843 * CHOOSE(CONTROL!$C$22, $C$13, 100%, $E$13)</f>
        <v>18.784300000000002</v>
      </c>
      <c r="F981" s="61">
        <f>18.7843 * CHOOSE(CONTROL!$C$22, $C$13, 100%, $E$13)</f>
        <v>18.784300000000002</v>
      </c>
      <c r="G981" s="61">
        <f>18.7867 * CHOOSE(CONTROL!$C$22, $C$13, 100%, $E$13)</f>
        <v>18.7867</v>
      </c>
      <c r="H981" s="61">
        <f>30.1767* CHOOSE(CONTROL!$C$22, $C$13, 100%, $E$13)</f>
        <v>30.1767</v>
      </c>
      <c r="I981" s="61">
        <f>30.179 * CHOOSE(CONTROL!$C$22, $C$13, 100%, $E$13)</f>
        <v>30.178999999999998</v>
      </c>
      <c r="J981" s="61">
        <f>18.0475 * CHOOSE(CONTROL!$C$22, $C$13, 100%, $E$13)</f>
        <v>18.047499999999999</v>
      </c>
      <c r="K981" s="61">
        <f>18.7867 * CHOOSE(CONTROL!$C$22, $C$13, 100%, $E$13)</f>
        <v>18.7867</v>
      </c>
    </row>
    <row r="982" spans="1:11" ht="15">
      <c r="A982" s="13">
        <v>71742</v>
      </c>
      <c r="B982" s="60">
        <f>15.1422 * CHOOSE(CONTROL!$C$22, $C$13, 100%, $E$13)</f>
        <v>15.142200000000001</v>
      </c>
      <c r="C982" s="60">
        <f>15.1422 * CHOOSE(CONTROL!$C$22, $C$13, 100%, $E$13)</f>
        <v>15.142200000000001</v>
      </c>
      <c r="D982" s="60">
        <f>15.1798 * CHOOSE(CONTROL!$C$22, $C$13, 100%, $E$13)</f>
        <v>15.1798</v>
      </c>
      <c r="E982" s="61">
        <f>18.6897 * CHOOSE(CONTROL!$C$22, $C$13, 100%, $E$13)</f>
        <v>18.689699999999998</v>
      </c>
      <c r="F982" s="61">
        <f>18.6897 * CHOOSE(CONTROL!$C$22, $C$13, 100%, $E$13)</f>
        <v>18.689699999999998</v>
      </c>
      <c r="G982" s="61">
        <f>18.692 * CHOOSE(CONTROL!$C$22, $C$13, 100%, $E$13)</f>
        <v>18.692</v>
      </c>
      <c r="H982" s="61">
        <f>30.2396* CHOOSE(CONTROL!$C$22, $C$13, 100%, $E$13)</f>
        <v>30.239599999999999</v>
      </c>
      <c r="I982" s="61">
        <f>30.2419 * CHOOSE(CONTROL!$C$22, $C$13, 100%, $E$13)</f>
        <v>30.241900000000001</v>
      </c>
      <c r="J982" s="61">
        <f>17.9575 * CHOOSE(CONTROL!$C$22, $C$13, 100%, $E$13)</f>
        <v>17.9575</v>
      </c>
      <c r="K982" s="61">
        <f>18.692 * CHOOSE(CONTROL!$C$22, $C$13, 100%, $E$13)</f>
        <v>18.692</v>
      </c>
    </row>
    <row r="983" spans="1:11" ht="15">
      <c r="A983" s="13">
        <v>71772</v>
      </c>
      <c r="B983" s="60">
        <f>15.3492 * CHOOSE(CONTROL!$C$22, $C$13, 100%, $E$13)</f>
        <v>15.3492</v>
      </c>
      <c r="C983" s="60">
        <f>15.3492 * CHOOSE(CONTROL!$C$22, $C$13, 100%, $E$13)</f>
        <v>15.3492</v>
      </c>
      <c r="D983" s="60">
        <f>15.3869 * CHOOSE(CONTROL!$C$22, $C$13, 100%, $E$13)</f>
        <v>15.386900000000001</v>
      </c>
      <c r="E983" s="61">
        <f>19.026 * CHOOSE(CONTROL!$C$22, $C$13, 100%, $E$13)</f>
        <v>19.026</v>
      </c>
      <c r="F983" s="61">
        <f>19.026 * CHOOSE(CONTROL!$C$22, $C$13, 100%, $E$13)</f>
        <v>19.026</v>
      </c>
      <c r="G983" s="61">
        <f>19.0283 * CHOOSE(CONTROL!$C$22, $C$13, 100%, $E$13)</f>
        <v>19.028300000000002</v>
      </c>
      <c r="H983" s="61">
        <f>30.3026* CHOOSE(CONTROL!$C$22, $C$13, 100%, $E$13)</f>
        <v>30.302600000000002</v>
      </c>
      <c r="I983" s="61">
        <f>30.3049 * CHOOSE(CONTROL!$C$22, $C$13, 100%, $E$13)</f>
        <v>30.3049</v>
      </c>
      <c r="J983" s="61">
        <f>18.2813 * CHOOSE(CONTROL!$C$22, $C$13, 100%, $E$13)</f>
        <v>18.281300000000002</v>
      </c>
      <c r="K983" s="61">
        <f>19.0283 * CHOOSE(CONTROL!$C$22, $C$13, 100%, $E$13)</f>
        <v>19.028300000000002</v>
      </c>
    </row>
    <row r="984" spans="1:11" ht="15">
      <c r="A984" s="13">
        <v>71803</v>
      </c>
      <c r="B984" s="60">
        <f>15.3559 * CHOOSE(CONTROL!$C$22, $C$13, 100%, $E$13)</f>
        <v>15.3559</v>
      </c>
      <c r="C984" s="60">
        <f>15.3559 * CHOOSE(CONTROL!$C$22, $C$13, 100%, $E$13)</f>
        <v>15.3559</v>
      </c>
      <c r="D984" s="60">
        <f>15.3936 * CHOOSE(CONTROL!$C$22, $C$13, 100%, $E$13)</f>
        <v>15.393599999999999</v>
      </c>
      <c r="E984" s="61">
        <f>18.7341 * CHOOSE(CONTROL!$C$22, $C$13, 100%, $E$13)</f>
        <v>18.734100000000002</v>
      </c>
      <c r="F984" s="61">
        <f>18.7341 * CHOOSE(CONTROL!$C$22, $C$13, 100%, $E$13)</f>
        <v>18.734100000000002</v>
      </c>
      <c r="G984" s="61">
        <f>18.7364 * CHOOSE(CONTROL!$C$22, $C$13, 100%, $E$13)</f>
        <v>18.7364</v>
      </c>
      <c r="H984" s="61">
        <f>30.3657* CHOOSE(CONTROL!$C$22, $C$13, 100%, $E$13)</f>
        <v>30.3657</v>
      </c>
      <c r="I984" s="61">
        <f>30.368 * CHOOSE(CONTROL!$C$22, $C$13, 100%, $E$13)</f>
        <v>30.367999999999999</v>
      </c>
      <c r="J984" s="61">
        <f>18.0032 * CHOOSE(CONTROL!$C$22, $C$13, 100%, $E$13)</f>
        <v>18.0032</v>
      </c>
      <c r="K984" s="61">
        <f>18.7364 * CHOOSE(CONTROL!$C$22, $C$13, 100%, $E$13)</f>
        <v>18.7364</v>
      </c>
    </row>
    <row r="985" spans="1:11" ht="15">
      <c r="A985" s="13">
        <v>71834</v>
      </c>
      <c r="B985" s="60">
        <f>15.3529 * CHOOSE(CONTROL!$C$22, $C$13, 100%, $E$13)</f>
        <v>15.3529</v>
      </c>
      <c r="C985" s="60">
        <f>15.3529 * CHOOSE(CONTROL!$C$22, $C$13, 100%, $E$13)</f>
        <v>15.3529</v>
      </c>
      <c r="D985" s="60">
        <f>15.3905 * CHOOSE(CONTROL!$C$22, $C$13, 100%, $E$13)</f>
        <v>15.390499999999999</v>
      </c>
      <c r="E985" s="61">
        <f>18.699 * CHOOSE(CONTROL!$C$22, $C$13, 100%, $E$13)</f>
        <v>18.699000000000002</v>
      </c>
      <c r="F985" s="61">
        <f>18.699 * CHOOSE(CONTROL!$C$22, $C$13, 100%, $E$13)</f>
        <v>18.699000000000002</v>
      </c>
      <c r="G985" s="61">
        <f>18.7014 * CHOOSE(CONTROL!$C$22, $C$13, 100%, $E$13)</f>
        <v>18.7014</v>
      </c>
      <c r="H985" s="61">
        <f>30.4289* CHOOSE(CONTROL!$C$22, $C$13, 100%, $E$13)</f>
        <v>30.428899999999999</v>
      </c>
      <c r="I985" s="61">
        <f>30.4313 * CHOOSE(CONTROL!$C$22, $C$13, 100%, $E$13)</f>
        <v>30.4313</v>
      </c>
      <c r="J985" s="61">
        <f>17.9697 * CHOOSE(CONTROL!$C$22, $C$13, 100%, $E$13)</f>
        <v>17.9697</v>
      </c>
      <c r="K985" s="61">
        <f>18.7014 * CHOOSE(CONTROL!$C$22, $C$13, 100%, $E$13)</f>
        <v>18.7014</v>
      </c>
    </row>
    <row r="986" spans="1:11" ht="15">
      <c r="A986" s="13">
        <v>71864</v>
      </c>
      <c r="B986" s="60">
        <f>15.3911 * CHOOSE(CONTROL!$C$22, $C$13, 100%, $E$13)</f>
        <v>15.3911</v>
      </c>
      <c r="C986" s="60">
        <f>15.3911 * CHOOSE(CONTROL!$C$22, $C$13, 100%, $E$13)</f>
        <v>15.3911</v>
      </c>
      <c r="D986" s="60">
        <f>15.4099 * CHOOSE(CONTROL!$C$22, $C$13, 100%, $E$13)</f>
        <v>15.4099</v>
      </c>
      <c r="E986" s="61">
        <f>18.8174 * CHOOSE(CONTROL!$C$22, $C$13, 100%, $E$13)</f>
        <v>18.817399999999999</v>
      </c>
      <c r="F986" s="61">
        <f>18.8174 * CHOOSE(CONTROL!$C$22, $C$13, 100%, $E$13)</f>
        <v>18.817399999999999</v>
      </c>
      <c r="G986" s="61">
        <f>18.8176 * CHOOSE(CONTROL!$C$22, $C$13, 100%, $E$13)</f>
        <v>18.817599999999999</v>
      </c>
      <c r="H986" s="61">
        <f>30.4923* CHOOSE(CONTROL!$C$22, $C$13, 100%, $E$13)</f>
        <v>30.4923</v>
      </c>
      <c r="I986" s="61">
        <f>30.4925 * CHOOSE(CONTROL!$C$22, $C$13, 100%, $E$13)</f>
        <v>30.4925</v>
      </c>
      <c r="J986" s="61">
        <f>18.0819 * CHOOSE(CONTROL!$C$22, $C$13, 100%, $E$13)</f>
        <v>18.081900000000001</v>
      </c>
      <c r="K986" s="61">
        <f>18.8176 * CHOOSE(CONTROL!$C$22, $C$13, 100%, $E$13)</f>
        <v>18.817599999999999</v>
      </c>
    </row>
    <row r="987" spans="1:11" ht="15">
      <c r="A987" s="13">
        <v>71895</v>
      </c>
      <c r="B987" s="60">
        <f>15.3941 * CHOOSE(CONTROL!$C$22, $C$13, 100%, $E$13)</f>
        <v>15.3941</v>
      </c>
      <c r="C987" s="60">
        <f>15.3941 * CHOOSE(CONTROL!$C$22, $C$13, 100%, $E$13)</f>
        <v>15.3941</v>
      </c>
      <c r="D987" s="60">
        <f>15.413 * CHOOSE(CONTROL!$C$22, $C$13, 100%, $E$13)</f>
        <v>15.413</v>
      </c>
      <c r="E987" s="61">
        <f>18.8855 * CHOOSE(CONTROL!$C$22, $C$13, 100%, $E$13)</f>
        <v>18.8855</v>
      </c>
      <c r="F987" s="61">
        <f>18.8855 * CHOOSE(CONTROL!$C$22, $C$13, 100%, $E$13)</f>
        <v>18.8855</v>
      </c>
      <c r="G987" s="61">
        <f>18.8856 * CHOOSE(CONTROL!$C$22, $C$13, 100%, $E$13)</f>
        <v>18.8856</v>
      </c>
      <c r="H987" s="61">
        <f>30.5559* CHOOSE(CONTROL!$C$22, $C$13, 100%, $E$13)</f>
        <v>30.555900000000001</v>
      </c>
      <c r="I987" s="61">
        <f>30.556 * CHOOSE(CONTROL!$C$22, $C$13, 100%, $E$13)</f>
        <v>30.556000000000001</v>
      </c>
      <c r="J987" s="61">
        <f>18.1469 * CHOOSE(CONTROL!$C$22, $C$13, 100%, $E$13)</f>
        <v>18.146899999999999</v>
      </c>
      <c r="K987" s="61">
        <f>18.8856 * CHOOSE(CONTROL!$C$22, $C$13, 100%, $E$13)</f>
        <v>18.8856</v>
      </c>
    </row>
    <row r="988" spans="1:11" ht="15">
      <c r="A988" s="13">
        <v>71925</v>
      </c>
      <c r="B988" s="60">
        <f>15.3941 * CHOOSE(CONTROL!$C$22, $C$13, 100%, $E$13)</f>
        <v>15.3941</v>
      </c>
      <c r="C988" s="60">
        <f>15.3941 * CHOOSE(CONTROL!$C$22, $C$13, 100%, $E$13)</f>
        <v>15.3941</v>
      </c>
      <c r="D988" s="60">
        <f>15.413 * CHOOSE(CONTROL!$C$22, $C$13, 100%, $E$13)</f>
        <v>15.413</v>
      </c>
      <c r="E988" s="61">
        <f>18.7207 * CHOOSE(CONTROL!$C$22, $C$13, 100%, $E$13)</f>
        <v>18.720700000000001</v>
      </c>
      <c r="F988" s="61">
        <f>18.7207 * CHOOSE(CONTROL!$C$22, $C$13, 100%, $E$13)</f>
        <v>18.720700000000001</v>
      </c>
      <c r="G988" s="61">
        <f>18.7209 * CHOOSE(CONTROL!$C$22, $C$13, 100%, $E$13)</f>
        <v>18.7209</v>
      </c>
      <c r="H988" s="61">
        <f>30.6195* CHOOSE(CONTROL!$C$22, $C$13, 100%, $E$13)</f>
        <v>30.619499999999999</v>
      </c>
      <c r="I988" s="61">
        <f>30.6197 * CHOOSE(CONTROL!$C$22, $C$13, 100%, $E$13)</f>
        <v>30.619700000000002</v>
      </c>
      <c r="J988" s="61">
        <f>17.9898 * CHOOSE(CONTROL!$C$22, $C$13, 100%, $E$13)</f>
        <v>17.989799999999999</v>
      </c>
      <c r="K988" s="61">
        <f>18.7209 * CHOOSE(CONTROL!$C$22, $C$13, 100%, $E$13)</f>
        <v>18.7209</v>
      </c>
    </row>
    <row r="989" spans="1:11" ht="15">
      <c r="A989" s="13">
        <v>71956</v>
      </c>
      <c r="B989" s="60">
        <f>15.3455 * CHOOSE(CONTROL!$C$22, $C$13, 100%, $E$13)</f>
        <v>15.345499999999999</v>
      </c>
      <c r="C989" s="60">
        <f>15.3455 * CHOOSE(CONTROL!$C$22, $C$13, 100%, $E$13)</f>
        <v>15.345499999999999</v>
      </c>
      <c r="D989" s="60">
        <f>15.3643 * CHOOSE(CONTROL!$C$22, $C$13, 100%, $E$13)</f>
        <v>15.3643</v>
      </c>
      <c r="E989" s="61">
        <f>18.77 * CHOOSE(CONTROL!$C$22, $C$13, 100%, $E$13)</f>
        <v>18.77</v>
      </c>
      <c r="F989" s="61">
        <f>18.77 * CHOOSE(CONTROL!$C$22, $C$13, 100%, $E$13)</f>
        <v>18.77</v>
      </c>
      <c r="G989" s="61">
        <f>18.7702 * CHOOSE(CONTROL!$C$22, $C$13, 100%, $E$13)</f>
        <v>18.770199999999999</v>
      </c>
      <c r="H989" s="61">
        <f>30.328* CHOOSE(CONTROL!$C$22, $C$13, 100%, $E$13)</f>
        <v>30.327999999999999</v>
      </c>
      <c r="I989" s="61">
        <f>30.3282 * CHOOSE(CONTROL!$C$22, $C$13, 100%, $E$13)</f>
        <v>30.328199999999999</v>
      </c>
      <c r="J989" s="61">
        <f>18.0251 * CHOOSE(CONTROL!$C$22, $C$13, 100%, $E$13)</f>
        <v>18.025099999999998</v>
      </c>
      <c r="K989" s="61">
        <f>18.7702 * CHOOSE(CONTROL!$C$22, $C$13, 100%, $E$13)</f>
        <v>18.770199999999999</v>
      </c>
    </row>
    <row r="990" spans="1:11" ht="15">
      <c r="A990" s="13">
        <v>71987</v>
      </c>
      <c r="B990" s="60">
        <f>15.3425 * CHOOSE(CONTROL!$C$22, $C$13, 100%, $E$13)</f>
        <v>15.342499999999999</v>
      </c>
      <c r="C990" s="60">
        <f>15.3425 * CHOOSE(CONTROL!$C$22, $C$13, 100%, $E$13)</f>
        <v>15.342499999999999</v>
      </c>
      <c r="D990" s="60">
        <f>15.3613 * CHOOSE(CONTROL!$C$22, $C$13, 100%, $E$13)</f>
        <v>15.3613</v>
      </c>
      <c r="E990" s="61">
        <f>18.4516 * CHOOSE(CONTROL!$C$22, $C$13, 100%, $E$13)</f>
        <v>18.451599999999999</v>
      </c>
      <c r="F990" s="61">
        <f>18.4516 * CHOOSE(CONTROL!$C$22, $C$13, 100%, $E$13)</f>
        <v>18.451599999999999</v>
      </c>
      <c r="G990" s="61">
        <f>18.4518 * CHOOSE(CONTROL!$C$22, $C$13, 100%, $E$13)</f>
        <v>18.451799999999999</v>
      </c>
      <c r="H990" s="61">
        <f>30.3912* CHOOSE(CONTROL!$C$22, $C$13, 100%, $E$13)</f>
        <v>30.391200000000001</v>
      </c>
      <c r="I990" s="61">
        <f>30.3913 * CHOOSE(CONTROL!$C$22, $C$13, 100%, $E$13)</f>
        <v>30.391300000000001</v>
      </c>
      <c r="J990" s="61">
        <f>17.7217 * CHOOSE(CONTROL!$C$22, $C$13, 100%, $E$13)</f>
        <v>17.721699999999998</v>
      </c>
      <c r="K990" s="61">
        <f>18.4518 * CHOOSE(CONTROL!$C$22, $C$13, 100%, $E$13)</f>
        <v>18.451799999999999</v>
      </c>
    </row>
    <row r="991" spans="1:11" ht="15">
      <c r="A991" s="13">
        <v>72015</v>
      </c>
      <c r="B991" s="60">
        <f>15.3394 * CHOOSE(CONTROL!$C$22, $C$13, 100%, $E$13)</f>
        <v>15.339399999999999</v>
      </c>
      <c r="C991" s="60">
        <f>15.3394 * CHOOSE(CONTROL!$C$22, $C$13, 100%, $E$13)</f>
        <v>15.339399999999999</v>
      </c>
      <c r="D991" s="60">
        <f>15.3583 * CHOOSE(CONTROL!$C$22, $C$13, 100%, $E$13)</f>
        <v>15.3583</v>
      </c>
      <c r="E991" s="61">
        <f>18.6988 * CHOOSE(CONTROL!$C$22, $C$13, 100%, $E$13)</f>
        <v>18.698799999999999</v>
      </c>
      <c r="F991" s="61">
        <f>18.6988 * CHOOSE(CONTROL!$C$22, $C$13, 100%, $E$13)</f>
        <v>18.698799999999999</v>
      </c>
      <c r="G991" s="61">
        <f>18.699 * CHOOSE(CONTROL!$C$22, $C$13, 100%, $E$13)</f>
        <v>18.699000000000002</v>
      </c>
      <c r="H991" s="61">
        <f>30.4545* CHOOSE(CONTROL!$C$22, $C$13, 100%, $E$13)</f>
        <v>30.454499999999999</v>
      </c>
      <c r="I991" s="61">
        <f>30.4547 * CHOOSE(CONTROL!$C$22, $C$13, 100%, $E$13)</f>
        <v>30.454699999999999</v>
      </c>
      <c r="J991" s="61">
        <f>17.9571 * CHOOSE(CONTROL!$C$22, $C$13, 100%, $E$13)</f>
        <v>17.957100000000001</v>
      </c>
      <c r="K991" s="61">
        <f>18.699 * CHOOSE(CONTROL!$C$22, $C$13, 100%, $E$13)</f>
        <v>18.699000000000002</v>
      </c>
    </row>
    <row r="992" spans="1:11" ht="15">
      <c r="A992" s="13">
        <v>72046</v>
      </c>
      <c r="B992" s="60">
        <f>15.3483 * CHOOSE(CONTROL!$C$22, $C$13, 100%, $E$13)</f>
        <v>15.3483</v>
      </c>
      <c r="C992" s="60">
        <f>15.3483 * CHOOSE(CONTROL!$C$22, $C$13, 100%, $E$13)</f>
        <v>15.3483</v>
      </c>
      <c r="D992" s="60">
        <f>15.3671 * CHOOSE(CONTROL!$C$22, $C$13, 100%, $E$13)</f>
        <v>15.367100000000001</v>
      </c>
      <c r="E992" s="61">
        <f>18.9624 * CHOOSE(CONTROL!$C$22, $C$13, 100%, $E$13)</f>
        <v>18.962399999999999</v>
      </c>
      <c r="F992" s="61">
        <f>18.9624 * CHOOSE(CONTROL!$C$22, $C$13, 100%, $E$13)</f>
        <v>18.962399999999999</v>
      </c>
      <c r="G992" s="61">
        <f>18.9625 * CHOOSE(CONTROL!$C$22, $C$13, 100%, $E$13)</f>
        <v>18.962499999999999</v>
      </c>
      <c r="H992" s="61">
        <f>30.5179* CHOOSE(CONTROL!$C$22, $C$13, 100%, $E$13)</f>
        <v>30.517900000000001</v>
      </c>
      <c r="I992" s="61">
        <f>30.5181 * CHOOSE(CONTROL!$C$22, $C$13, 100%, $E$13)</f>
        <v>30.5181</v>
      </c>
      <c r="J992" s="61">
        <f>18.208 * CHOOSE(CONTROL!$C$22, $C$13, 100%, $E$13)</f>
        <v>18.207999999999998</v>
      </c>
      <c r="K992" s="61">
        <f>18.9625 * CHOOSE(CONTROL!$C$22, $C$13, 100%, $E$13)</f>
        <v>18.962499999999999</v>
      </c>
    </row>
    <row r="993" spans="1:11" ht="15">
      <c r="A993" s="13">
        <v>72076</v>
      </c>
      <c r="B993" s="60">
        <f>15.3483 * CHOOSE(CONTROL!$C$22, $C$13, 100%, $E$13)</f>
        <v>15.3483</v>
      </c>
      <c r="C993" s="60">
        <f>15.3483 * CHOOSE(CONTROL!$C$22, $C$13, 100%, $E$13)</f>
        <v>15.3483</v>
      </c>
      <c r="D993" s="60">
        <f>15.3859 * CHOOSE(CONTROL!$C$22, $C$13, 100%, $E$13)</f>
        <v>15.385899999999999</v>
      </c>
      <c r="E993" s="61">
        <f>19.0628 * CHOOSE(CONTROL!$C$22, $C$13, 100%, $E$13)</f>
        <v>19.062799999999999</v>
      </c>
      <c r="F993" s="61">
        <f>19.0628 * CHOOSE(CONTROL!$C$22, $C$13, 100%, $E$13)</f>
        <v>19.062799999999999</v>
      </c>
      <c r="G993" s="61">
        <f>19.0651 * CHOOSE(CONTROL!$C$22, $C$13, 100%, $E$13)</f>
        <v>19.065100000000001</v>
      </c>
      <c r="H993" s="61">
        <f>30.5815* CHOOSE(CONTROL!$C$22, $C$13, 100%, $E$13)</f>
        <v>30.581499999999998</v>
      </c>
      <c r="I993" s="61">
        <f>30.5838 * CHOOSE(CONTROL!$C$22, $C$13, 100%, $E$13)</f>
        <v>30.5838</v>
      </c>
      <c r="J993" s="61">
        <f>18.3036 * CHOOSE(CONTROL!$C$22, $C$13, 100%, $E$13)</f>
        <v>18.303599999999999</v>
      </c>
      <c r="K993" s="61">
        <f>19.0651 * CHOOSE(CONTROL!$C$22, $C$13, 100%, $E$13)</f>
        <v>19.065100000000001</v>
      </c>
    </row>
    <row r="994" spans="1:11" ht="15">
      <c r="A994" s="13">
        <v>72107</v>
      </c>
      <c r="B994" s="60">
        <f>15.3544 * CHOOSE(CONTROL!$C$22, $C$13, 100%, $E$13)</f>
        <v>15.3544</v>
      </c>
      <c r="C994" s="60">
        <f>15.3544 * CHOOSE(CONTROL!$C$22, $C$13, 100%, $E$13)</f>
        <v>15.3544</v>
      </c>
      <c r="D994" s="60">
        <f>15.392 * CHOOSE(CONTROL!$C$22, $C$13, 100%, $E$13)</f>
        <v>15.391999999999999</v>
      </c>
      <c r="E994" s="61">
        <f>18.9666 * CHOOSE(CONTROL!$C$22, $C$13, 100%, $E$13)</f>
        <v>18.9666</v>
      </c>
      <c r="F994" s="61">
        <f>18.9666 * CHOOSE(CONTROL!$C$22, $C$13, 100%, $E$13)</f>
        <v>18.9666</v>
      </c>
      <c r="G994" s="61">
        <f>18.9689 * CHOOSE(CONTROL!$C$22, $C$13, 100%, $E$13)</f>
        <v>18.968900000000001</v>
      </c>
      <c r="H994" s="61">
        <f>30.6452* CHOOSE(CONTROL!$C$22, $C$13, 100%, $E$13)</f>
        <v>30.645199999999999</v>
      </c>
      <c r="I994" s="61">
        <f>30.6475 * CHOOSE(CONTROL!$C$22, $C$13, 100%, $E$13)</f>
        <v>30.647500000000001</v>
      </c>
      <c r="J994" s="61">
        <f>18.2122 * CHOOSE(CONTROL!$C$22, $C$13, 100%, $E$13)</f>
        <v>18.212199999999999</v>
      </c>
      <c r="K994" s="61">
        <f>18.9689 * CHOOSE(CONTROL!$C$22, $C$13, 100%, $E$13)</f>
        <v>18.968900000000001</v>
      </c>
    </row>
    <row r="995" spans="1:11" ht="15">
      <c r="A995" s="13">
        <v>72137</v>
      </c>
      <c r="B995" s="60">
        <f>15.5642 * CHOOSE(CONTROL!$C$22, $C$13, 100%, $E$13)</f>
        <v>15.5642</v>
      </c>
      <c r="C995" s="60">
        <f>15.5642 * CHOOSE(CONTROL!$C$22, $C$13, 100%, $E$13)</f>
        <v>15.5642</v>
      </c>
      <c r="D995" s="60">
        <f>15.6018 * CHOOSE(CONTROL!$C$22, $C$13, 100%, $E$13)</f>
        <v>15.601800000000001</v>
      </c>
      <c r="E995" s="61">
        <f>19.3077 * CHOOSE(CONTROL!$C$22, $C$13, 100%, $E$13)</f>
        <v>19.307700000000001</v>
      </c>
      <c r="F995" s="61">
        <f>19.3077 * CHOOSE(CONTROL!$C$22, $C$13, 100%, $E$13)</f>
        <v>19.307700000000001</v>
      </c>
      <c r="G995" s="61">
        <f>19.31 * CHOOSE(CONTROL!$C$22, $C$13, 100%, $E$13)</f>
        <v>19.309999999999999</v>
      </c>
      <c r="H995" s="61">
        <f>30.7091* CHOOSE(CONTROL!$C$22, $C$13, 100%, $E$13)</f>
        <v>30.709099999999999</v>
      </c>
      <c r="I995" s="61">
        <f>30.7114 * CHOOSE(CONTROL!$C$22, $C$13, 100%, $E$13)</f>
        <v>30.711400000000001</v>
      </c>
      <c r="J995" s="61">
        <f>18.5404 * CHOOSE(CONTROL!$C$22, $C$13, 100%, $E$13)</f>
        <v>18.540400000000002</v>
      </c>
      <c r="K995" s="61">
        <f>19.31 * CHOOSE(CONTROL!$C$22, $C$13, 100%, $E$13)</f>
        <v>19.309999999999999</v>
      </c>
    </row>
    <row r="996" spans="1:11" ht="15">
      <c r="A996" s="13">
        <v>72168</v>
      </c>
      <c r="B996" s="60">
        <f>15.5708 * CHOOSE(CONTROL!$C$22, $C$13, 100%, $E$13)</f>
        <v>15.5708</v>
      </c>
      <c r="C996" s="60">
        <f>15.5708 * CHOOSE(CONTROL!$C$22, $C$13, 100%, $E$13)</f>
        <v>15.5708</v>
      </c>
      <c r="D996" s="60">
        <f>15.6085 * CHOOSE(CONTROL!$C$22, $C$13, 100%, $E$13)</f>
        <v>15.608499999999999</v>
      </c>
      <c r="E996" s="61">
        <f>19.0111 * CHOOSE(CONTROL!$C$22, $C$13, 100%, $E$13)</f>
        <v>19.011099999999999</v>
      </c>
      <c r="F996" s="61">
        <f>19.0111 * CHOOSE(CONTROL!$C$22, $C$13, 100%, $E$13)</f>
        <v>19.011099999999999</v>
      </c>
      <c r="G996" s="61">
        <f>19.0134 * CHOOSE(CONTROL!$C$22, $C$13, 100%, $E$13)</f>
        <v>19.013400000000001</v>
      </c>
      <c r="H996" s="61">
        <f>30.773* CHOOSE(CONTROL!$C$22, $C$13, 100%, $E$13)</f>
        <v>30.773</v>
      </c>
      <c r="I996" s="61">
        <f>30.7754 * CHOOSE(CONTROL!$C$22, $C$13, 100%, $E$13)</f>
        <v>30.775400000000001</v>
      </c>
      <c r="J996" s="61">
        <f>18.258 * CHOOSE(CONTROL!$C$22, $C$13, 100%, $E$13)</f>
        <v>18.257999999999999</v>
      </c>
      <c r="K996" s="61">
        <f>19.0134 * CHOOSE(CONTROL!$C$22, $C$13, 100%, $E$13)</f>
        <v>19.013400000000001</v>
      </c>
    </row>
    <row r="997" spans="1:11" ht="15">
      <c r="A997" s="13">
        <v>72199</v>
      </c>
      <c r="B997" s="60">
        <f>15.5678 * CHOOSE(CONTROL!$C$22, $C$13, 100%, $E$13)</f>
        <v>15.5678</v>
      </c>
      <c r="C997" s="60">
        <f>15.5678 * CHOOSE(CONTROL!$C$22, $C$13, 100%, $E$13)</f>
        <v>15.5678</v>
      </c>
      <c r="D997" s="60">
        <f>15.6054 * CHOOSE(CONTROL!$C$22, $C$13, 100%, $E$13)</f>
        <v>15.605399999999999</v>
      </c>
      <c r="E997" s="61">
        <f>18.9755 * CHOOSE(CONTROL!$C$22, $C$13, 100%, $E$13)</f>
        <v>18.9755</v>
      </c>
      <c r="F997" s="61">
        <f>18.9755 * CHOOSE(CONTROL!$C$22, $C$13, 100%, $E$13)</f>
        <v>18.9755</v>
      </c>
      <c r="G997" s="61">
        <f>18.9778 * CHOOSE(CONTROL!$C$22, $C$13, 100%, $E$13)</f>
        <v>18.977799999999998</v>
      </c>
      <c r="H997" s="61">
        <f>30.8372* CHOOSE(CONTROL!$C$22, $C$13, 100%, $E$13)</f>
        <v>30.837199999999999</v>
      </c>
      <c r="I997" s="61">
        <f>30.8395 * CHOOSE(CONTROL!$C$22, $C$13, 100%, $E$13)</f>
        <v>30.839500000000001</v>
      </c>
      <c r="J997" s="61">
        <f>18.224 * CHOOSE(CONTROL!$C$22, $C$13, 100%, $E$13)</f>
        <v>18.224</v>
      </c>
      <c r="K997" s="61">
        <f>18.9778 * CHOOSE(CONTROL!$C$22, $C$13, 100%, $E$13)</f>
        <v>18.977799999999998</v>
      </c>
    </row>
    <row r="998" spans="1:11" ht="15">
      <c r="A998" s="13">
        <v>72229</v>
      </c>
      <c r="B998" s="60">
        <f>15.6068 * CHOOSE(CONTROL!$C$22, $C$13, 100%, $E$13)</f>
        <v>15.6068</v>
      </c>
      <c r="C998" s="60">
        <f>15.6068 * CHOOSE(CONTROL!$C$22, $C$13, 100%, $E$13)</f>
        <v>15.6068</v>
      </c>
      <c r="D998" s="60">
        <f>15.6256 * CHOOSE(CONTROL!$C$22, $C$13, 100%, $E$13)</f>
        <v>15.6256</v>
      </c>
      <c r="E998" s="61">
        <f>19.096 * CHOOSE(CONTROL!$C$22, $C$13, 100%, $E$13)</f>
        <v>19.096</v>
      </c>
      <c r="F998" s="61">
        <f>19.096 * CHOOSE(CONTROL!$C$22, $C$13, 100%, $E$13)</f>
        <v>19.096</v>
      </c>
      <c r="G998" s="61">
        <f>19.0962 * CHOOSE(CONTROL!$C$22, $C$13, 100%, $E$13)</f>
        <v>19.0962</v>
      </c>
      <c r="H998" s="61">
        <f>30.9014* CHOOSE(CONTROL!$C$22, $C$13, 100%, $E$13)</f>
        <v>30.901399999999999</v>
      </c>
      <c r="I998" s="61">
        <f>30.9016 * CHOOSE(CONTROL!$C$22, $C$13, 100%, $E$13)</f>
        <v>30.901599999999998</v>
      </c>
      <c r="J998" s="61">
        <f>18.3382 * CHOOSE(CONTROL!$C$22, $C$13, 100%, $E$13)</f>
        <v>18.338200000000001</v>
      </c>
      <c r="K998" s="61">
        <f>19.0962 * CHOOSE(CONTROL!$C$22, $C$13, 100%, $E$13)</f>
        <v>19.0962</v>
      </c>
    </row>
    <row r="999" spans="1:11" ht="15">
      <c r="A999" s="13">
        <v>72260</v>
      </c>
      <c r="B999" s="60">
        <f>15.6099 * CHOOSE(CONTROL!$C$22, $C$13, 100%, $E$13)</f>
        <v>15.6099</v>
      </c>
      <c r="C999" s="60">
        <f>15.6099 * CHOOSE(CONTROL!$C$22, $C$13, 100%, $E$13)</f>
        <v>15.6099</v>
      </c>
      <c r="D999" s="60">
        <f>15.6287 * CHOOSE(CONTROL!$C$22, $C$13, 100%, $E$13)</f>
        <v>15.6287</v>
      </c>
      <c r="E999" s="61">
        <f>19.1651 * CHOOSE(CONTROL!$C$22, $C$13, 100%, $E$13)</f>
        <v>19.165099999999999</v>
      </c>
      <c r="F999" s="61">
        <f>19.1651 * CHOOSE(CONTROL!$C$22, $C$13, 100%, $E$13)</f>
        <v>19.165099999999999</v>
      </c>
      <c r="G999" s="61">
        <f>19.1652 * CHOOSE(CONTROL!$C$22, $C$13, 100%, $E$13)</f>
        <v>19.165199999999999</v>
      </c>
      <c r="H999" s="61">
        <f>30.9658* CHOOSE(CONTROL!$C$22, $C$13, 100%, $E$13)</f>
        <v>30.965800000000002</v>
      </c>
      <c r="I999" s="61">
        <f>30.9659 * CHOOSE(CONTROL!$C$22, $C$13, 100%, $E$13)</f>
        <v>30.965900000000001</v>
      </c>
      <c r="J999" s="61">
        <f>18.4041 * CHOOSE(CONTROL!$C$22, $C$13, 100%, $E$13)</f>
        <v>18.4041</v>
      </c>
      <c r="K999" s="61">
        <f>19.1652 * CHOOSE(CONTROL!$C$22, $C$13, 100%, $E$13)</f>
        <v>19.165199999999999</v>
      </c>
    </row>
    <row r="1000" spans="1:11" ht="15">
      <c r="A1000" s="13">
        <v>72290</v>
      </c>
      <c r="B1000" s="60">
        <f>15.6099 * CHOOSE(CONTROL!$C$22, $C$13, 100%, $E$13)</f>
        <v>15.6099</v>
      </c>
      <c r="C1000" s="60">
        <f>15.6099 * CHOOSE(CONTROL!$C$22, $C$13, 100%, $E$13)</f>
        <v>15.6099</v>
      </c>
      <c r="D1000" s="60">
        <f>15.6287 * CHOOSE(CONTROL!$C$22, $C$13, 100%, $E$13)</f>
        <v>15.6287</v>
      </c>
      <c r="E1000" s="61">
        <f>18.9977 * CHOOSE(CONTROL!$C$22, $C$13, 100%, $E$13)</f>
        <v>18.997699999999998</v>
      </c>
      <c r="F1000" s="61">
        <f>18.9977 * CHOOSE(CONTROL!$C$22, $C$13, 100%, $E$13)</f>
        <v>18.997699999999998</v>
      </c>
      <c r="G1000" s="61">
        <f>18.9979 * CHOOSE(CONTROL!$C$22, $C$13, 100%, $E$13)</f>
        <v>18.997900000000001</v>
      </c>
      <c r="H1000" s="61">
        <f>31.0303* CHOOSE(CONTROL!$C$22, $C$13, 100%, $E$13)</f>
        <v>31.0303</v>
      </c>
      <c r="I1000" s="61">
        <f>31.0305 * CHOOSE(CONTROL!$C$22, $C$13, 100%, $E$13)</f>
        <v>31.0305</v>
      </c>
      <c r="J1000" s="61">
        <f>18.2446 * CHOOSE(CONTROL!$C$22, $C$13, 100%, $E$13)</f>
        <v>18.244599999999998</v>
      </c>
      <c r="K1000" s="61">
        <f>18.9979 * CHOOSE(CONTROL!$C$22, $C$13, 100%, $E$13)</f>
        <v>18.997900000000001</v>
      </c>
    </row>
    <row r="1001" spans="1:11" ht="15">
      <c r="A1001" s="13">
        <v>72321</v>
      </c>
      <c r="B1001" s="60">
        <f>15.5575 * CHOOSE(CONTROL!$C$22, $C$13, 100%, $E$13)</f>
        <v>15.557499999999999</v>
      </c>
      <c r="C1001" s="60">
        <f>15.5575 * CHOOSE(CONTROL!$C$22, $C$13, 100%, $E$13)</f>
        <v>15.557499999999999</v>
      </c>
      <c r="D1001" s="60">
        <f>15.5764 * CHOOSE(CONTROL!$C$22, $C$13, 100%, $E$13)</f>
        <v>15.5764</v>
      </c>
      <c r="E1001" s="61">
        <f>19.0438 * CHOOSE(CONTROL!$C$22, $C$13, 100%, $E$13)</f>
        <v>19.043800000000001</v>
      </c>
      <c r="F1001" s="61">
        <f>19.0438 * CHOOSE(CONTROL!$C$22, $C$13, 100%, $E$13)</f>
        <v>19.043800000000001</v>
      </c>
      <c r="G1001" s="61">
        <f>19.0439 * CHOOSE(CONTROL!$C$22, $C$13, 100%, $E$13)</f>
        <v>19.043900000000001</v>
      </c>
      <c r="H1001" s="61">
        <f>30.7294* CHOOSE(CONTROL!$C$22, $C$13, 100%, $E$13)</f>
        <v>30.729399999999998</v>
      </c>
      <c r="I1001" s="61">
        <f>30.7296 * CHOOSE(CONTROL!$C$22, $C$13, 100%, $E$13)</f>
        <v>30.729600000000001</v>
      </c>
      <c r="J1001" s="61">
        <f>18.2769 * CHOOSE(CONTROL!$C$22, $C$13, 100%, $E$13)</f>
        <v>18.276900000000001</v>
      </c>
      <c r="K1001" s="61">
        <f>19.0439 * CHOOSE(CONTROL!$C$22, $C$13, 100%, $E$13)</f>
        <v>19.043900000000001</v>
      </c>
    </row>
    <row r="1002" spans="1:11" ht="15">
      <c r="A1002" s="13">
        <v>72352</v>
      </c>
      <c r="B1002" s="60">
        <f>15.5545 * CHOOSE(CONTROL!$C$22, $C$13, 100%, $E$13)</f>
        <v>15.554500000000001</v>
      </c>
      <c r="C1002" s="60">
        <f>15.5545 * CHOOSE(CONTROL!$C$22, $C$13, 100%, $E$13)</f>
        <v>15.554500000000001</v>
      </c>
      <c r="D1002" s="60">
        <f>15.5733 * CHOOSE(CONTROL!$C$22, $C$13, 100%, $E$13)</f>
        <v>15.5733</v>
      </c>
      <c r="E1002" s="61">
        <f>18.7205 * CHOOSE(CONTROL!$C$22, $C$13, 100%, $E$13)</f>
        <v>18.720500000000001</v>
      </c>
      <c r="F1002" s="61">
        <f>18.7205 * CHOOSE(CONTROL!$C$22, $C$13, 100%, $E$13)</f>
        <v>18.720500000000001</v>
      </c>
      <c r="G1002" s="61">
        <f>18.7206 * CHOOSE(CONTROL!$C$22, $C$13, 100%, $E$13)</f>
        <v>18.720600000000001</v>
      </c>
      <c r="H1002" s="61">
        <f>30.7935* CHOOSE(CONTROL!$C$22, $C$13, 100%, $E$13)</f>
        <v>30.793500000000002</v>
      </c>
      <c r="I1002" s="61">
        <f>30.7936 * CHOOSE(CONTROL!$C$22, $C$13, 100%, $E$13)</f>
        <v>30.793600000000001</v>
      </c>
      <c r="J1002" s="61">
        <f>17.969 * CHOOSE(CONTROL!$C$22, $C$13, 100%, $E$13)</f>
        <v>17.969000000000001</v>
      </c>
      <c r="K1002" s="61">
        <f>18.7206 * CHOOSE(CONTROL!$C$22, $C$13, 100%, $E$13)</f>
        <v>18.720600000000001</v>
      </c>
    </row>
    <row r="1003" spans="1:11" ht="15">
      <c r="A1003" s="13">
        <v>72380</v>
      </c>
      <c r="B1003" s="60">
        <f>15.5515 * CHOOSE(CONTROL!$C$22, $C$13, 100%, $E$13)</f>
        <v>15.551500000000001</v>
      </c>
      <c r="C1003" s="60">
        <f>15.5515 * CHOOSE(CONTROL!$C$22, $C$13, 100%, $E$13)</f>
        <v>15.551500000000001</v>
      </c>
      <c r="D1003" s="60">
        <f>15.5703 * CHOOSE(CONTROL!$C$22, $C$13, 100%, $E$13)</f>
        <v>15.5703</v>
      </c>
      <c r="E1003" s="61">
        <f>18.9715 * CHOOSE(CONTROL!$C$22, $C$13, 100%, $E$13)</f>
        <v>18.971499999999999</v>
      </c>
      <c r="F1003" s="61">
        <f>18.9715 * CHOOSE(CONTROL!$C$22, $C$13, 100%, $E$13)</f>
        <v>18.971499999999999</v>
      </c>
      <c r="G1003" s="61">
        <f>18.9717 * CHOOSE(CONTROL!$C$22, $C$13, 100%, $E$13)</f>
        <v>18.971699999999998</v>
      </c>
      <c r="H1003" s="61">
        <f>30.8576* CHOOSE(CONTROL!$C$22, $C$13, 100%, $E$13)</f>
        <v>30.857600000000001</v>
      </c>
      <c r="I1003" s="61">
        <f>30.8578 * CHOOSE(CONTROL!$C$22, $C$13, 100%, $E$13)</f>
        <v>30.857800000000001</v>
      </c>
      <c r="J1003" s="61">
        <f>18.208 * CHOOSE(CONTROL!$C$22, $C$13, 100%, $E$13)</f>
        <v>18.207999999999998</v>
      </c>
      <c r="K1003" s="61">
        <f>18.9717 * CHOOSE(CONTROL!$C$22, $C$13, 100%, $E$13)</f>
        <v>18.971699999999998</v>
      </c>
    </row>
    <row r="1004" spans="1:11" ht="15">
      <c r="A1004" s="13">
        <v>72411</v>
      </c>
      <c r="B1004" s="60">
        <f>15.5605 * CHOOSE(CONTROL!$C$22, $C$13, 100%, $E$13)</f>
        <v>15.560499999999999</v>
      </c>
      <c r="C1004" s="60">
        <f>15.5605 * CHOOSE(CONTROL!$C$22, $C$13, 100%, $E$13)</f>
        <v>15.560499999999999</v>
      </c>
      <c r="D1004" s="60">
        <f>15.5793 * CHOOSE(CONTROL!$C$22, $C$13, 100%, $E$13)</f>
        <v>15.5793</v>
      </c>
      <c r="E1004" s="61">
        <f>19.2392 * CHOOSE(CONTROL!$C$22, $C$13, 100%, $E$13)</f>
        <v>19.2392</v>
      </c>
      <c r="F1004" s="61">
        <f>19.2392 * CHOOSE(CONTROL!$C$22, $C$13, 100%, $E$13)</f>
        <v>19.2392</v>
      </c>
      <c r="G1004" s="61">
        <f>19.2394 * CHOOSE(CONTROL!$C$22, $C$13, 100%, $E$13)</f>
        <v>19.2394</v>
      </c>
      <c r="H1004" s="61">
        <f>30.9219* CHOOSE(CONTROL!$C$22, $C$13, 100%, $E$13)</f>
        <v>30.921900000000001</v>
      </c>
      <c r="I1004" s="61">
        <f>30.9221 * CHOOSE(CONTROL!$C$22, $C$13, 100%, $E$13)</f>
        <v>30.9221</v>
      </c>
      <c r="J1004" s="61">
        <f>18.4626 * CHOOSE(CONTROL!$C$22, $C$13, 100%, $E$13)</f>
        <v>18.462599999999998</v>
      </c>
      <c r="K1004" s="61">
        <f>19.2394 * CHOOSE(CONTROL!$C$22, $C$13, 100%, $E$13)</f>
        <v>19.2394</v>
      </c>
    </row>
    <row r="1005" spans="1:11" ht="15">
      <c r="A1005" s="13">
        <v>72441</v>
      </c>
      <c r="B1005" s="60">
        <f>15.5605 * CHOOSE(CONTROL!$C$22, $C$13, 100%, $E$13)</f>
        <v>15.560499999999999</v>
      </c>
      <c r="C1005" s="60">
        <f>15.5605 * CHOOSE(CONTROL!$C$22, $C$13, 100%, $E$13)</f>
        <v>15.560499999999999</v>
      </c>
      <c r="D1005" s="60">
        <f>15.5981 * CHOOSE(CONTROL!$C$22, $C$13, 100%, $E$13)</f>
        <v>15.598100000000001</v>
      </c>
      <c r="E1005" s="61">
        <f>19.3412 * CHOOSE(CONTROL!$C$22, $C$13, 100%, $E$13)</f>
        <v>19.341200000000001</v>
      </c>
      <c r="F1005" s="61">
        <f>19.3412 * CHOOSE(CONTROL!$C$22, $C$13, 100%, $E$13)</f>
        <v>19.341200000000001</v>
      </c>
      <c r="G1005" s="61">
        <f>19.3435 * CHOOSE(CONTROL!$C$22, $C$13, 100%, $E$13)</f>
        <v>19.343499999999999</v>
      </c>
      <c r="H1005" s="61">
        <f>30.9863* CHOOSE(CONTROL!$C$22, $C$13, 100%, $E$13)</f>
        <v>30.9863</v>
      </c>
      <c r="I1005" s="61">
        <f>30.9886 * CHOOSE(CONTROL!$C$22, $C$13, 100%, $E$13)</f>
        <v>30.988600000000002</v>
      </c>
      <c r="J1005" s="61">
        <f>18.5597 * CHOOSE(CONTROL!$C$22, $C$13, 100%, $E$13)</f>
        <v>18.559699999999999</v>
      </c>
      <c r="K1005" s="61">
        <f>19.3435 * CHOOSE(CONTROL!$C$22, $C$13, 100%, $E$13)</f>
        <v>19.343499999999999</v>
      </c>
    </row>
    <row r="1006" spans="1:11" ht="15">
      <c r="A1006" s="13">
        <v>72472</v>
      </c>
      <c r="B1006" s="60">
        <f>15.5666 * CHOOSE(CONTROL!$C$22, $C$13, 100%, $E$13)</f>
        <v>15.566599999999999</v>
      </c>
      <c r="C1006" s="60">
        <f>15.5666 * CHOOSE(CONTROL!$C$22, $C$13, 100%, $E$13)</f>
        <v>15.566599999999999</v>
      </c>
      <c r="D1006" s="60">
        <f>15.6042 * CHOOSE(CONTROL!$C$22, $C$13, 100%, $E$13)</f>
        <v>15.604200000000001</v>
      </c>
      <c r="E1006" s="61">
        <f>19.2435 * CHOOSE(CONTROL!$C$22, $C$13, 100%, $E$13)</f>
        <v>19.243500000000001</v>
      </c>
      <c r="F1006" s="61">
        <f>19.2435 * CHOOSE(CONTROL!$C$22, $C$13, 100%, $E$13)</f>
        <v>19.243500000000001</v>
      </c>
      <c r="G1006" s="61">
        <f>19.2458 * CHOOSE(CONTROL!$C$22, $C$13, 100%, $E$13)</f>
        <v>19.245799999999999</v>
      </c>
      <c r="H1006" s="61">
        <f>31.0509* CHOOSE(CONTROL!$C$22, $C$13, 100%, $E$13)</f>
        <v>31.050899999999999</v>
      </c>
      <c r="I1006" s="61">
        <f>31.0532 * CHOOSE(CONTROL!$C$22, $C$13, 100%, $E$13)</f>
        <v>31.0532</v>
      </c>
      <c r="J1006" s="61">
        <f>18.4669 * CHOOSE(CONTROL!$C$22, $C$13, 100%, $E$13)</f>
        <v>18.466899999999999</v>
      </c>
      <c r="K1006" s="61">
        <f>19.2458 * CHOOSE(CONTROL!$C$22, $C$13, 100%, $E$13)</f>
        <v>19.245799999999999</v>
      </c>
    </row>
    <row r="1007" spans="1:11" ht="15">
      <c r="A1007" s="13">
        <v>72502</v>
      </c>
      <c r="B1007" s="60">
        <f>15.7791 * CHOOSE(CONTROL!$C$22, $C$13, 100%, $E$13)</f>
        <v>15.7791</v>
      </c>
      <c r="C1007" s="60">
        <f>15.7791 * CHOOSE(CONTROL!$C$22, $C$13, 100%, $E$13)</f>
        <v>15.7791</v>
      </c>
      <c r="D1007" s="60">
        <f>15.8167 * CHOOSE(CONTROL!$C$22, $C$13, 100%, $E$13)</f>
        <v>15.816700000000001</v>
      </c>
      <c r="E1007" s="61">
        <f>19.5894 * CHOOSE(CONTROL!$C$22, $C$13, 100%, $E$13)</f>
        <v>19.589400000000001</v>
      </c>
      <c r="F1007" s="61">
        <f>19.5894 * CHOOSE(CONTROL!$C$22, $C$13, 100%, $E$13)</f>
        <v>19.589400000000001</v>
      </c>
      <c r="G1007" s="61">
        <f>19.5917 * CHOOSE(CONTROL!$C$22, $C$13, 100%, $E$13)</f>
        <v>19.591699999999999</v>
      </c>
      <c r="H1007" s="61">
        <f>31.1156* CHOOSE(CONTROL!$C$22, $C$13, 100%, $E$13)</f>
        <v>31.115600000000001</v>
      </c>
      <c r="I1007" s="61">
        <f>31.1179 * CHOOSE(CONTROL!$C$22, $C$13, 100%, $E$13)</f>
        <v>31.117899999999999</v>
      </c>
      <c r="J1007" s="61">
        <f>18.7995 * CHOOSE(CONTROL!$C$22, $C$13, 100%, $E$13)</f>
        <v>18.799499999999998</v>
      </c>
      <c r="K1007" s="61">
        <f>19.5917 * CHOOSE(CONTROL!$C$22, $C$13, 100%, $E$13)</f>
        <v>19.591699999999999</v>
      </c>
    </row>
    <row r="1008" spans="1:11" ht="15">
      <c r="A1008" s="13">
        <v>72533</v>
      </c>
      <c r="B1008" s="60">
        <f>15.7858 * CHOOSE(CONTROL!$C$22, $C$13, 100%, $E$13)</f>
        <v>15.7858</v>
      </c>
      <c r="C1008" s="60">
        <f>15.7858 * CHOOSE(CONTROL!$C$22, $C$13, 100%, $E$13)</f>
        <v>15.7858</v>
      </c>
      <c r="D1008" s="60">
        <f>15.8234 * CHOOSE(CONTROL!$C$22, $C$13, 100%, $E$13)</f>
        <v>15.823399999999999</v>
      </c>
      <c r="E1008" s="61">
        <f>19.2881 * CHOOSE(CONTROL!$C$22, $C$13, 100%, $E$13)</f>
        <v>19.2881</v>
      </c>
      <c r="F1008" s="61">
        <f>19.2881 * CHOOSE(CONTROL!$C$22, $C$13, 100%, $E$13)</f>
        <v>19.2881</v>
      </c>
      <c r="G1008" s="61">
        <f>19.2904 * CHOOSE(CONTROL!$C$22, $C$13, 100%, $E$13)</f>
        <v>19.290400000000002</v>
      </c>
      <c r="H1008" s="61">
        <f>31.1804* CHOOSE(CONTROL!$C$22, $C$13, 100%, $E$13)</f>
        <v>31.180399999999999</v>
      </c>
      <c r="I1008" s="61">
        <f>31.1827 * CHOOSE(CONTROL!$C$22, $C$13, 100%, $E$13)</f>
        <v>31.182700000000001</v>
      </c>
      <c r="J1008" s="61">
        <f>18.5129 * CHOOSE(CONTROL!$C$22, $C$13, 100%, $E$13)</f>
        <v>18.512899999999998</v>
      </c>
      <c r="K1008" s="61">
        <f>19.2904 * CHOOSE(CONTROL!$C$22, $C$13, 100%, $E$13)</f>
        <v>19.290400000000002</v>
      </c>
    </row>
    <row r="1009" spans="1:11" ht="15">
      <c r="A1009" s="13">
        <v>72564</v>
      </c>
      <c r="B1009" s="60">
        <f>15.7827 * CHOOSE(CONTROL!$C$22, $C$13, 100%, $E$13)</f>
        <v>15.7827</v>
      </c>
      <c r="C1009" s="60">
        <f>15.7827 * CHOOSE(CONTROL!$C$22, $C$13, 100%, $E$13)</f>
        <v>15.7827</v>
      </c>
      <c r="D1009" s="60">
        <f>15.8203 * CHOOSE(CONTROL!$C$22, $C$13, 100%, $E$13)</f>
        <v>15.8203</v>
      </c>
      <c r="E1009" s="61">
        <f>19.252 * CHOOSE(CONTROL!$C$22, $C$13, 100%, $E$13)</f>
        <v>19.251999999999999</v>
      </c>
      <c r="F1009" s="61">
        <f>19.252 * CHOOSE(CONTROL!$C$22, $C$13, 100%, $E$13)</f>
        <v>19.251999999999999</v>
      </c>
      <c r="G1009" s="61">
        <f>19.2543 * CHOOSE(CONTROL!$C$22, $C$13, 100%, $E$13)</f>
        <v>19.254300000000001</v>
      </c>
      <c r="H1009" s="61">
        <f>31.2454* CHOOSE(CONTROL!$C$22, $C$13, 100%, $E$13)</f>
        <v>31.2454</v>
      </c>
      <c r="I1009" s="61">
        <f>31.2477 * CHOOSE(CONTROL!$C$22, $C$13, 100%, $E$13)</f>
        <v>31.247699999999998</v>
      </c>
      <c r="J1009" s="61">
        <f>18.4784 * CHOOSE(CONTROL!$C$22, $C$13, 100%, $E$13)</f>
        <v>18.478400000000001</v>
      </c>
      <c r="K1009" s="61">
        <f>19.2543 * CHOOSE(CONTROL!$C$22, $C$13, 100%, $E$13)</f>
        <v>19.254300000000001</v>
      </c>
    </row>
    <row r="1010" spans="1:11" ht="15">
      <c r="A1010" s="13">
        <v>72594</v>
      </c>
      <c r="B1010" s="60">
        <f>15.8226 * CHOOSE(CONTROL!$C$22, $C$13, 100%, $E$13)</f>
        <v>15.8226</v>
      </c>
      <c r="C1010" s="60">
        <f>15.8226 * CHOOSE(CONTROL!$C$22, $C$13, 100%, $E$13)</f>
        <v>15.8226</v>
      </c>
      <c r="D1010" s="60">
        <f>15.8414 * CHOOSE(CONTROL!$C$22, $C$13, 100%, $E$13)</f>
        <v>15.8414</v>
      </c>
      <c r="E1010" s="61">
        <f>19.3746 * CHOOSE(CONTROL!$C$22, $C$13, 100%, $E$13)</f>
        <v>19.374600000000001</v>
      </c>
      <c r="F1010" s="61">
        <f>19.3746 * CHOOSE(CONTROL!$C$22, $C$13, 100%, $E$13)</f>
        <v>19.374600000000001</v>
      </c>
      <c r="G1010" s="61">
        <f>19.3747 * CHOOSE(CONTROL!$C$22, $C$13, 100%, $E$13)</f>
        <v>19.374700000000001</v>
      </c>
      <c r="H1010" s="61">
        <f>31.3104* CHOOSE(CONTROL!$C$22, $C$13, 100%, $E$13)</f>
        <v>31.310400000000001</v>
      </c>
      <c r="I1010" s="61">
        <f>31.3106 * CHOOSE(CONTROL!$C$22, $C$13, 100%, $E$13)</f>
        <v>31.310600000000001</v>
      </c>
      <c r="J1010" s="61">
        <f>18.5944 * CHOOSE(CONTROL!$C$22, $C$13, 100%, $E$13)</f>
        <v>18.5944</v>
      </c>
      <c r="K1010" s="61">
        <f>19.3747 * CHOOSE(CONTROL!$C$22, $C$13, 100%, $E$13)</f>
        <v>19.374700000000001</v>
      </c>
    </row>
    <row r="1011" spans="1:11" ht="15">
      <c r="A1011" s="13">
        <v>72625</v>
      </c>
      <c r="B1011" s="60">
        <f>15.8256 * CHOOSE(CONTROL!$C$22, $C$13, 100%, $E$13)</f>
        <v>15.8256</v>
      </c>
      <c r="C1011" s="60">
        <f>15.8256 * CHOOSE(CONTROL!$C$22, $C$13, 100%, $E$13)</f>
        <v>15.8256</v>
      </c>
      <c r="D1011" s="60">
        <f>15.8444 * CHOOSE(CONTROL!$C$22, $C$13, 100%, $E$13)</f>
        <v>15.8444</v>
      </c>
      <c r="E1011" s="61">
        <f>19.4447 * CHOOSE(CONTROL!$C$22, $C$13, 100%, $E$13)</f>
        <v>19.444700000000001</v>
      </c>
      <c r="F1011" s="61">
        <f>19.4447 * CHOOSE(CONTROL!$C$22, $C$13, 100%, $E$13)</f>
        <v>19.444700000000001</v>
      </c>
      <c r="G1011" s="61">
        <f>19.4448 * CHOOSE(CONTROL!$C$22, $C$13, 100%, $E$13)</f>
        <v>19.444800000000001</v>
      </c>
      <c r="H1011" s="61">
        <f>31.3757* CHOOSE(CONTROL!$C$22, $C$13, 100%, $E$13)</f>
        <v>31.375699999999998</v>
      </c>
      <c r="I1011" s="61">
        <f>31.3759 * CHOOSE(CONTROL!$C$22, $C$13, 100%, $E$13)</f>
        <v>31.375900000000001</v>
      </c>
      <c r="J1011" s="61">
        <f>18.6613 * CHOOSE(CONTROL!$C$22, $C$13, 100%, $E$13)</f>
        <v>18.661300000000001</v>
      </c>
      <c r="K1011" s="61">
        <f>19.4448 * CHOOSE(CONTROL!$C$22, $C$13, 100%, $E$13)</f>
        <v>19.444800000000001</v>
      </c>
    </row>
    <row r="1012" spans="1:11" ht="15">
      <c r="A1012" s="13">
        <v>72655</v>
      </c>
      <c r="B1012" s="60">
        <f>15.8256 * CHOOSE(CONTROL!$C$22, $C$13, 100%, $E$13)</f>
        <v>15.8256</v>
      </c>
      <c r="C1012" s="60">
        <f>15.8256 * CHOOSE(CONTROL!$C$22, $C$13, 100%, $E$13)</f>
        <v>15.8256</v>
      </c>
      <c r="D1012" s="60">
        <f>15.8444 * CHOOSE(CONTROL!$C$22, $C$13, 100%, $E$13)</f>
        <v>15.8444</v>
      </c>
      <c r="E1012" s="61">
        <f>19.2747 * CHOOSE(CONTROL!$C$22, $C$13, 100%, $E$13)</f>
        <v>19.274699999999999</v>
      </c>
      <c r="F1012" s="61">
        <f>19.2747 * CHOOSE(CONTROL!$C$22, $C$13, 100%, $E$13)</f>
        <v>19.274699999999999</v>
      </c>
      <c r="G1012" s="61">
        <f>19.2749 * CHOOSE(CONTROL!$C$22, $C$13, 100%, $E$13)</f>
        <v>19.274899999999999</v>
      </c>
      <c r="H1012" s="61">
        <f>31.441* CHOOSE(CONTROL!$C$22, $C$13, 100%, $E$13)</f>
        <v>31.440999999999999</v>
      </c>
      <c r="I1012" s="61">
        <f>31.4412 * CHOOSE(CONTROL!$C$22, $C$13, 100%, $E$13)</f>
        <v>31.441199999999998</v>
      </c>
      <c r="J1012" s="61">
        <f>18.4995 * CHOOSE(CONTROL!$C$22, $C$13, 100%, $E$13)</f>
        <v>18.499500000000001</v>
      </c>
      <c r="K1012" s="61">
        <f>19.2749 * CHOOSE(CONTROL!$C$22, $C$13, 100%, $E$13)</f>
        <v>19.274899999999999</v>
      </c>
    </row>
    <row r="1013" spans="1:11" ht="15">
      <c r="A1013" s="13">
        <v>72686</v>
      </c>
      <c r="B1013" s="60">
        <f>15.7695 * CHOOSE(CONTROL!$C$22, $C$13, 100%, $E$13)</f>
        <v>15.769500000000001</v>
      </c>
      <c r="C1013" s="60">
        <f>15.7695 * CHOOSE(CONTROL!$C$22, $C$13, 100%, $E$13)</f>
        <v>15.769500000000001</v>
      </c>
      <c r="D1013" s="60">
        <f>15.7884 * CHOOSE(CONTROL!$C$22, $C$13, 100%, $E$13)</f>
        <v>15.788399999999999</v>
      </c>
      <c r="E1013" s="61">
        <f>19.3175 * CHOOSE(CONTROL!$C$22, $C$13, 100%, $E$13)</f>
        <v>19.317499999999999</v>
      </c>
      <c r="F1013" s="61">
        <f>19.3175 * CHOOSE(CONTROL!$C$22, $C$13, 100%, $E$13)</f>
        <v>19.317499999999999</v>
      </c>
      <c r="G1013" s="61">
        <f>19.3177 * CHOOSE(CONTROL!$C$22, $C$13, 100%, $E$13)</f>
        <v>19.317699999999999</v>
      </c>
      <c r="H1013" s="61">
        <f>31.1309* CHOOSE(CONTROL!$C$22, $C$13, 100%, $E$13)</f>
        <v>31.1309</v>
      </c>
      <c r="I1013" s="61">
        <f>31.1311 * CHOOSE(CONTROL!$C$22, $C$13, 100%, $E$13)</f>
        <v>31.1311</v>
      </c>
      <c r="J1013" s="61">
        <f>18.5288 * CHOOSE(CONTROL!$C$22, $C$13, 100%, $E$13)</f>
        <v>18.5288</v>
      </c>
      <c r="K1013" s="61">
        <f>19.3177 * CHOOSE(CONTROL!$C$22, $C$13, 100%, $E$13)</f>
        <v>19.317699999999999</v>
      </c>
    </row>
    <row r="1014" spans="1:11" ht="15">
      <c r="A1014" s="13">
        <v>72717</v>
      </c>
      <c r="B1014" s="60">
        <f>15.7665 * CHOOSE(CONTROL!$C$22, $C$13, 100%, $E$13)</f>
        <v>15.766500000000001</v>
      </c>
      <c r="C1014" s="60">
        <f>15.7665 * CHOOSE(CONTROL!$C$22, $C$13, 100%, $E$13)</f>
        <v>15.766500000000001</v>
      </c>
      <c r="D1014" s="60">
        <f>15.7853 * CHOOSE(CONTROL!$C$22, $C$13, 100%, $E$13)</f>
        <v>15.785299999999999</v>
      </c>
      <c r="E1014" s="61">
        <f>18.9893 * CHOOSE(CONTROL!$C$22, $C$13, 100%, $E$13)</f>
        <v>18.9893</v>
      </c>
      <c r="F1014" s="61">
        <f>18.9893 * CHOOSE(CONTROL!$C$22, $C$13, 100%, $E$13)</f>
        <v>18.9893</v>
      </c>
      <c r="G1014" s="61">
        <f>18.9895 * CHOOSE(CONTROL!$C$22, $C$13, 100%, $E$13)</f>
        <v>18.9895</v>
      </c>
      <c r="H1014" s="61">
        <f>31.1958* CHOOSE(CONTROL!$C$22, $C$13, 100%, $E$13)</f>
        <v>31.195799999999998</v>
      </c>
      <c r="I1014" s="61">
        <f>31.1959 * CHOOSE(CONTROL!$C$22, $C$13, 100%, $E$13)</f>
        <v>31.195900000000002</v>
      </c>
      <c r="J1014" s="61">
        <f>18.2164 * CHOOSE(CONTROL!$C$22, $C$13, 100%, $E$13)</f>
        <v>18.2164</v>
      </c>
      <c r="K1014" s="61">
        <f>18.9895 * CHOOSE(CONTROL!$C$22, $C$13, 100%, $E$13)</f>
        <v>18.9895</v>
      </c>
    </row>
    <row r="1015" spans="1:11" ht="15">
      <c r="A1015" s="13">
        <v>72745</v>
      </c>
      <c r="B1015" s="60">
        <f>15.7635 * CHOOSE(CONTROL!$C$22, $C$13, 100%, $E$13)</f>
        <v>15.763500000000001</v>
      </c>
      <c r="C1015" s="60">
        <f>15.7635 * CHOOSE(CONTROL!$C$22, $C$13, 100%, $E$13)</f>
        <v>15.763500000000001</v>
      </c>
      <c r="D1015" s="60">
        <f>15.7823 * CHOOSE(CONTROL!$C$22, $C$13, 100%, $E$13)</f>
        <v>15.782299999999999</v>
      </c>
      <c r="E1015" s="61">
        <f>19.2443 * CHOOSE(CONTROL!$C$22, $C$13, 100%, $E$13)</f>
        <v>19.244299999999999</v>
      </c>
      <c r="F1015" s="61">
        <f>19.2443 * CHOOSE(CONTROL!$C$22, $C$13, 100%, $E$13)</f>
        <v>19.244299999999999</v>
      </c>
      <c r="G1015" s="61">
        <f>19.2444 * CHOOSE(CONTROL!$C$22, $C$13, 100%, $E$13)</f>
        <v>19.244399999999999</v>
      </c>
      <c r="H1015" s="61">
        <f>31.2608* CHOOSE(CONTROL!$C$22, $C$13, 100%, $E$13)</f>
        <v>31.2608</v>
      </c>
      <c r="I1015" s="61">
        <f>31.2609 * CHOOSE(CONTROL!$C$22, $C$13, 100%, $E$13)</f>
        <v>31.260899999999999</v>
      </c>
      <c r="J1015" s="61">
        <f>18.4589 * CHOOSE(CONTROL!$C$22, $C$13, 100%, $E$13)</f>
        <v>18.4589</v>
      </c>
      <c r="K1015" s="61">
        <f>19.2444 * CHOOSE(CONTROL!$C$22, $C$13, 100%, $E$13)</f>
        <v>19.244399999999999</v>
      </c>
    </row>
    <row r="1016" spans="1:11" ht="15">
      <c r="A1016" s="13">
        <v>72776</v>
      </c>
      <c r="B1016" s="60">
        <f>15.7727 * CHOOSE(CONTROL!$C$22, $C$13, 100%, $E$13)</f>
        <v>15.7727</v>
      </c>
      <c r="C1016" s="60">
        <f>15.7727 * CHOOSE(CONTROL!$C$22, $C$13, 100%, $E$13)</f>
        <v>15.7727</v>
      </c>
      <c r="D1016" s="60">
        <f>15.7915 * CHOOSE(CONTROL!$C$22, $C$13, 100%, $E$13)</f>
        <v>15.791499999999999</v>
      </c>
      <c r="E1016" s="61">
        <f>19.5161 * CHOOSE(CONTROL!$C$22, $C$13, 100%, $E$13)</f>
        <v>19.516100000000002</v>
      </c>
      <c r="F1016" s="61">
        <f>19.5161 * CHOOSE(CONTROL!$C$22, $C$13, 100%, $E$13)</f>
        <v>19.516100000000002</v>
      </c>
      <c r="G1016" s="61">
        <f>19.5163 * CHOOSE(CONTROL!$C$22, $C$13, 100%, $E$13)</f>
        <v>19.516300000000001</v>
      </c>
      <c r="H1016" s="61">
        <f>31.3259* CHOOSE(CONTROL!$C$22, $C$13, 100%, $E$13)</f>
        <v>31.325900000000001</v>
      </c>
      <c r="I1016" s="61">
        <f>31.3261 * CHOOSE(CONTROL!$C$22, $C$13, 100%, $E$13)</f>
        <v>31.3261</v>
      </c>
      <c r="J1016" s="61">
        <f>18.7173 * CHOOSE(CONTROL!$C$22, $C$13, 100%, $E$13)</f>
        <v>18.717300000000002</v>
      </c>
      <c r="K1016" s="61">
        <f>19.5163 * CHOOSE(CONTROL!$C$22, $C$13, 100%, $E$13)</f>
        <v>19.516300000000001</v>
      </c>
    </row>
    <row r="1017" spans="1:11" ht="15">
      <c r="A1017" s="13">
        <v>72806</v>
      </c>
      <c r="B1017" s="60">
        <f>15.7727 * CHOOSE(CONTROL!$C$22, $C$13, 100%, $E$13)</f>
        <v>15.7727</v>
      </c>
      <c r="C1017" s="60">
        <f>15.7727 * CHOOSE(CONTROL!$C$22, $C$13, 100%, $E$13)</f>
        <v>15.7727</v>
      </c>
      <c r="D1017" s="60">
        <f>15.8104 * CHOOSE(CONTROL!$C$22, $C$13, 100%, $E$13)</f>
        <v>15.8104</v>
      </c>
      <c r="E1017" s="61">
        <f>19.6197 * CHOOSE(CONTROL!$C$22, $C$13, 100%, $E$13)</f>
        <v>19.619700000000002</v>
      </c>
      <c r="F1017" s="61">
        <f>19.6197 * CHOOSE(CONTROL!$C$22, $C$13, 100%, $E$13)</f>
        <v>19.619700000000002</v>
      </c>
      <c r="G1017" s="61">
        <f>19.622 * CHOOSE(CONTROL!$C$22, $C$13, 100%, $E$13)</f>
        <v>19.622</v>
      </c>
      <c r="H1017" s="61">
        <f>31.3911* CHOOSE(CONTROL!$C$22, $C$13, 100%, $E$13)</f>
        <v>31.391100000000002</v>
      </c>
      <c r="I1017" s="61">
        <f>31.3935 * CHOOSE(CONTROL!$C$22, $C$13, 100%, $E$13)</f>
        <v>31.3935</v>
      </c>
      <c r="J1017" s="61">
        <f>18.8158 * CHOOSE(CONTROL!$C$22, $C$13, 100%, $E$13)</f>
        <v>18.815799999999999</v>
      </c>
      <c r="K1017" s="61">
        <f>19.622 * CHOOSE(CONTROL!$C$22, $C$13, 100%, $E$13)</f>
        <v>19.622</v>
      </c>
    </row>
    <row r="1018" spans="1:11" ht="15">
      <c r="A1018" s="13">
        <v>72837</v>
      </c>
      <c r="B1018" s="60">
        <f>15.7788 * CHOOSE(CONTROL!$C$22, $C$13, 100%, $E$13)</f>
        <v>15.7788</v>
      </c>
      <c r="C1018" s="60">
        <f>15.7788 * CHOOSE(CONTROL!$C$22, $C$13, 100%, $E$13)</f>
        <v>15.7788</v>
      </c>
      <c r="D1018" s="60">
        <f>15.8164 * CHOOSE(CONTROL!$C$22, $C$13, 100%, $E$13)</f>
        <v>15.8164</v>
      </c>
      <c r="E1018" s="61">
        <f>19.5204 * CHOOSE(CONTROL!$C$22, $C$13, 100%, $E$13)</f>
        <v>19.520399999999999</v>
      </c>
      <c r="F1018" s="61">
        <f>19.5204 * CHOOSE(CONTROL!$C$22, $C$13, 100%, $E$13)</f>
        <v>19.520399999999999</v>
      </c>
      <c r="G1018" s="61">
        <f>19.5227 * CHOOSE(CONTROL!$C$22, $C$13, 100%, $E$13)</f>
        <v>19.5227</v>
      </c>
      <c r="H1018" s="61">
        <f>31.4565* CHOOSE(CONTROL!$C$22, $C$13, 100%, $E$13)</f>
        <v>31.456499999999998</v>
      </c>
      <c r="I1018" s="61">
        <f>31.4589 * CHOOSE(CONTROL!$C$22, $C$13, 100%, $E$13)</f>
        <v>31.4589</v>
      </c>
      <c r="J1018" s="61">
        <f>18.7215 * CHOOSE(CONTROL!$C$22, $C$13, 100%, $E$13)</f>
        <v>18.721499999999999</v>
      </c>
      <c r="K1018" s="61">
        <f>19.5227 * CHOOSE(CONTROL!$C$22, $C$13, 100%, $E$13)</f>
        <v>19.5227</v>
      </c>
    </row>
    <row r="1019" spans="1:11" ht="15">
      <c r="A1019" s="13">
        <v>72867</v>
      </c>
      <c r="B1019" s="60">
        <f>15.994 * CHOOSE(CONTROL!$C$22, $C$13, 100%, $E$13)</f>
        <v>15.994</v>
      </c>
      <c r="C1019" s="60">
        <f>15.994 * CHOOSE(CONTROL!$C$22, $C$13, 100%, $E$13)</f>
        <v>15.994</v>
      </c>
      <c r="D1019" s="60">
        <f>16.0316 * CHOOSE(CONTROL!$C$22, $C$13, 100%, $E$13)</f>
        <v>16.031600000000001</v>
      </c>
      <c r="E1019" s="61">
        <f>19.8711 * CHOOSE(CONTROL!$C$22, $C$13, 100%, $E$13)</f>
        <v>19.871099999999998</v>
      </c>
      <c r="F1019" s="61">
        <f>19.8711 * CHOOSE(CONTROL!$C$22, $C$13, 100%, $E$13)</f>
        <v>19.871099999999998</v>
      </c>
      <c r="G1019" s="61">
        <f>19.8734 * CHOOSE(CONTROL!$C$22, $C$13, 100%, $E$13)</f>
        <v>19.8734</v>
      </c>
      <c r="H1019" s="61">
        <f>31.5221* CHOOSE(CONTROL!$C$22, $C$13, 100%, $E$13)</f>
        <v>31.522099999999998</v>
      </c>
      <c r="I1019" s="61">
        <f>31.5244 * CHOOSE(CONTROL!$C$22, $C$13, 100%, $E$13)</f>
        <v>31.5244</v>
      </c>
      <c r="J1019" s="61">
        <f>19.0586 * CHOOSE(CONTROL!$C$22, $C$13, 100%, $E$13)</f>
        <v>19.058599999999998</v>
      </c>
      <c r="K1019" s="61">
        <f>19.8734 * CHOOSE(CONTROL!$C$22, $C$13, 100%, $E$13)</f>
        <v>19.8734</v>
      </c>
    </row>
    <row r="1020" spans="1:11" ht="15">
      <c r="A1020" s="13">
        <v>72898</v>
      </c>
      <c r="B1020" s="60">
        <f>16.0007 * CHOOSE(CONTROL!$C$22, $C$13, 100%, $E$13)</f>
        <v>16.000699999999998</v>
      </c>
      <c r="C1020" s="60">
        <f>16.0007 * CHOOSE(CONTROL!$C$22, $C$13, 100%, $E$13)</f>
        <v>16.000699999999998</v>
      </c>
      <c r="D1020" s="60">
        <f>16.0383 * CHOOSE(CONTROL!$C$22, $C$13, 100%, $E$13)</f>
        <v>16.0383</v>
      </c>
      <c r="E1020" s="61">
        <f>19.5651 * CHOOSE(CONTROL!$C$22, $C$13, 100%, $E$13)</f>
        <v>19.565100000000001</v>
      </c>
      <c r="F1020" s="61">
        <f>19.5651 * CHOOSE(CONTROL!$C$22, $C$13, 100%, $E$13)</f>
        <v>19.565100000000001</v>
      </c>
      <c r="G1020" s="61">
        <f>19.5674 * CHOOSE(CONTROL!$C$22, $C$13, 100%, $E$13)</f>
        <v>19.567399999999999</v>
      </c>
      <c r="H1020" s="61">
        <f>31.5877* CHOOSE(CONTROL!$C$22, $C$13, 100%, $E$13)</f>
        <v>31.587700000000002</v>
      </c>
      <c r="I1020" s="61">
        <f>31.5901 * CHOOSE(CONTROL!$C$22, $C$13, 100%, $E$13)</f>
        <v>31.5901</v>
      </c>
      <c r="J1020" s="61">
        <f>18.7677 * CHOOSE(CONTROL!$C$22, $C$13, 100%, $E$13)</f>
        <v>18.767700000000001</v>
      </c>
      <c r="K1020" s="61">
        <f>19.5674 * CHOOSE(CONTROL!$C$22, $C$13, 100%, $E$13)</f>
        <v>19.567399999999999</v>
      </c>
    </row>
    <row r="1021" spans="1:11" ht="15">
      <c r="A1021" s="13">
        <v>72929</v>
      </c>
      <c r="B1021" s="60">
        <f>15.9976 * CHOOSE(CONTROL!$C$22, $C$13, 100%, $E$13)</f>
        <v>15.9976</v>
      </c>
      <c r="C1021" s="60">
        <f>15.9976 * CHOOSE(CONTROL!$C$22, $C$13, 100%, $E$13)</f>
        <v>15.9976</v>
      </c>
      <c r="D1021" s="60">
        <f>16.0353 * CHOOSE(CONTROL!$C$22, $C$13, 100%, $E$13)</f>
        <v>16.035299999999999</v>
      </c>
      <c r="E1021" s="61">
        <f>19.5285 * CHOOSE(CONTROL!$C$22, $C$13, 100%, $E$13)</f>
        <v>19.528500000000001</v>
      </c>
      <c r="F1021" s="61">
        <f>19.5285 * CHOOSE(CONTROL!$C$22, $C$13, 100%, $E$13)</f>
        <v>19.528500000000001</v>
      </c>
      <c r="G1021" s="61">
        <f>19.5308 * CHOOSE(CONTROL!$C$22, $C$13, 100%, $E$13)</f>
        <v>19.530799999999999</v>
      </c>
      <c r="H1021" s="61">
        <f>31.6536* CHOOSE(CONTROL!$C$22, $C$13, 100%, $E$13)</f>
        <v>31.653600000000001</v>
      </c>
      <c r="I1021" s="61">
        <f>31.6559 * CHOOSE(CONTROL!$C$22, $C$13, 100%, $E$13)</f>
        <v>31.655899999999999</v>
      </c>
      <c r="J1021" s="61">
        <f>18.7328 * CHOOSE(CONTROL!$C$22, $C$13, 100%, $E$13)</f>
        <v>18.732800000000001</v>
      </c>
      <c r="K1021" s="61">
        <f>19.5308 * CHOOSE(CONTROL!$C$22, $C$13, 100%, $E$13)</f>
        <v>19.530799999999999</v>
      </c>
    </row>
    <row r="1022" spans="1:11" ht="15">
      <c r="A1022" s="13">
        <v>72959</v>
      </c>
      <c r="B1022" s="60">
        <f>16.0383 * CHOOSE(CONTROL!$C$22, $C$13, 100%, $E$13)</f>
        <v>16.0383</v>
      </c>
      <c r="C1022" s="60">
        <f>16.0383 * CHOOSE(CONTROL!$C$22, $C$13, 100%, $E$13)</f>
        <v>16.0383</v>
      </c>
      <c r="D1022" s="60">
        <f>16.0571 * CHOOSE(CONTROL!$C$22, $C$13, 100%, $E$13)</f>
        <v>16.057099999999998</v>
      </c>
      <c r="E1022" s="61">
        <f>19.6531 * CHOOSE(CONTROL!$C$22, $C$13, 100%, $E$13)</f>
        <v>19.653099999999998</v>
      </c>
      <c r="F1022" s="61">
        <f>19.6531 * CHOOSE(CONTROL!$C$22, $C$13, 100%, $E$13)</f>
        <v>19.653099999999998</v>
      </c>
      <c r="G1022" s="61">
        <f>19.6533 * CHOOSE(CONTROL!$C$22, $C$13, 100%, $E$13)</f>
        <v>19.653300000000002</v>
      </c>
      <c r="H1022" s="61">
        <f>31.7195* CHOOSE(CONTROL!$C$22, $C$13, 100%, $E$13)</f>
        <v>31.7195</v>
      </c>
      <c r="I1022" s="61">
        <f>31.7197 * CHOOSE(CONTROL!$C$22, $C$13, 100%, $E$13)</f>
        <v>31.7197</v>
      </c>
      <c r="J1022" s="61">
        <f>18.8507 * CHOOSE(CONTROL!$C$22, $C$13, 100%, $E$13)</f>
        <v>18.8507</v>
      </c>
      <c r="K1022" s="61">
        <f>19.6533 * CHOOSE(CONTROL!$C$22, $C$13, 100%, $E$13)</f>
        <v>19.653300000000002</v>
      </c>
    </row>
    <row r="1023" spans="1:11" ht="15">
      <c r="A1023" s="13">
        <v>72990</v>
      </c>
      <c r="B1023" s="60">
        <f>16.0413 * CHOOSE(CONTROL!$C$22, $C$13, 100%, $E$13)</f>
        <v>16.0413</v>
      </c>
      <c r="C1023" s="60">
        <f>16.0413 * CHOOSE(CONTROL!$C$22, $C$13, 100%, $E$13)</f>
        <v>16.0413</v>
      </c>
      <c r="D1023" s="60">
        <f>16.0601 * CHOOSE(CONTROL!$C$22, $C$13, 100%, $E$13)</f>
        <v>16.060099999999998</v>
      </c>
      <c r="E1023" s="61">
        <f>19.7243 * CHOOSE(CONTROL!$C$22, $C$13, 100%, $E$13)</f>
        <v>19.724299999999999</v>
      </c>
      <c r="F1023" s="61">
        <f>19.7243 * CHOOSE(CONTROL!$C$22, $C$13, 100%, $E$13)</f>
        <v>19.724299999999999</v>
      </c>
      <c r="G1023" s="61">
        <f>19.7244 * CHOOSE(CONTROL!$C$22, $C$13, 100%, $E$13)</f>
        <v>19.724399999999999</v>
      </c>
      <c r="H1023" s="61">
        <f>31.7856* CHOOSE(CONTROL!$C$22, $C$13, 100%, $E$13)</f>
        <v>31.785599999999999</v>
      </c>
      <c r="I1023" s="61">
        <f>31.7858 * CHOOSE(CONTROL!$C$22, $C$13, 100%, $E$13)</f>
        <v>31.785799999999998</v>
      </c>
      <c r="J1023" s="61">
        <f>18.9185 * CHOOSE(CONTROL!$C$22, $C$13, 100%, $E$13)</f>
        <v>18.918500000000002</v>
      </c>
      <c r="K1023" s="61">
        <f>19.7244 * CHOOSE(CONTROL!$C$22, $C$13, 100%, $E$13)</f>
        <v>19.724399999999999</v>
      </c>
    </row>
    <row r="1024" spans="1:11" ht="15">
      <c r="A1024" s="13">
        <v>73020</v>
      </c>
      <c r="B1024" s="60">
        <f>16.0413 * CHOOSE(CONTROL!$C$22, $C$13, 100%, $E$13)</f>
        <v>16.0413</v>
      </c>
      <c r="C1024" s="60">
        <f>16.0413 * CHOOSE(CONTROL!$C$22, $C$13, 100%, $E$13)</f>
        <v>16.0413</v>
      </c>
      <c r="D1024" s="60">
        <f>16.0601 * CHOOSE(CONTROL!$C$22, $C$13, 100%, $E$13)</f>
        <v>16.060099999999998</v>
      </c>
      <c r="E1024" s="61">
        <f>19.5517 * CHOOSE(CONTROL!$C$22, $C$13, 100%, $E$13)</f>
        <v>19.5517</v>
      </c>
      <c r="F1024" s="61">
        <f>19.5517 * CHOOSE(CONTROL!$C$22, $C$13, 100%, $E$13)</f>
        <v>19.5517</v>
      </c>
      <c r="G1024" s="61">
        <f>19.5519 * CHOOSE(CONTROL!$C$22, $C$13, 100%, $E$13)</f>
        <v>19.5519</v>
      </c>
      <c r="H1024" s="61">
        <f>31.8518* CHOOSE(CONTROL!$C$22, $C$13, 100%, $E$13)</f>
        <v>31.851800000000001</v>
      </c>
      <c r="I1024" s="61">
        <f>31.852 * CHOOSE(CONTROL!$C$22, $C$13, 100%, $E$13)</f>
        <v>31.852</v>
      </c>
      <c r="J1024" s="61">
        <f>18.7543 * CHOOSE(CONTROL!$C$22, $C$13, 100%, $E$13)</f>
        <v>18.754300000000001</v>
      </c>
      <c r="K1024" s="61">
        <f>19.5519 * CHOOSE(CONTROL!$C$22, $C$13, 100%, $E$13)</f>
        <v>19.5519</v>
      </c>
    </row>
    <row r="1025" spans="1:11" ht="15">
      <c r="A1025" s="13">
        <v>73051</v>
      </c>
      <c r="B1025" s="60">
        <f>15.9816 * CHOOSE(CONTROL!$C$22, $C$13, 100%, $E$13)</f>
        <v>15.9816</v>
      </c>
      <c r="C1025" s="60">
        <f>15.9816 * CHOOSE(CONTROL!$C$22, $C$13, 100%, $E$13)</f>
        <v>15.9816</v>
      </c>
      <c r="D1025" s="60">
        <f>16.0004 * CHOOSE(CONTROL!$C$22, $C$13, 100%, $E$13)</f>
        <v>16.000399999999999</v>
      </c>
      <c r="E1025" s="61">
        <f>19.5913 * CHOOSE(CONTROL!$C$22, $C$13, 100%, $E$13)</f>
        <v>19.5913</v>
      </c>
      <c r="F1025" s="61">
        <f>19.5913 * CHOOSE(CONTROL!$C$22, $C$13, 100%, $E$13)</f>
        <v>19.5913</v>
      </c>
      <c r="G1025" s="61">
        <f>19.5915 * CHOOSE(CONTROL!$C$22, $C$13, 100%, $E$13)</f>
        <v>19.5915</v>
      </c>
      <c r="H1025" s="61">
        <f>31.5324* CHOOSE(CONTROL!$C$22, $C$13, 100%, $E$13)</f>
        <v>31.532399999999999</v>
      </c>
      <c r="I1025" s="61">
        <f>31.5325 * CHOOSE(CONTROL!$C$22, $C$13, 100%, $E$13)</f>
        <v>31.532499999999999</v>
      </c>
      <c r="J1025" s="61">
        <f>18.7806 * CHOOSE(CONTROL!$C$22, $C$13, 100%, $E$13)</f>
        <v>18.7806</v>
      </c>
      <c r="K1025" s="61">
        <f>19.5915 * CHOOSE(CONTROL!$C$22, $C$13, 100%, $E$13)</f>
        <v>19.5915</v>
      </c>
    </row>
    <row r="1026" spans="1:11" ht="15">
      <c r="A1026" s="13">
        <v>73082</v>
      </c>
      <c r="B1026" s="60">
        <f>15.9785 * CHOOSE(CONTROL!$C$22, $C$13, 100%, $E$13)</f>
        <v>15.9785</v>
      </c>
      <c r="C1026" s="60">
        <f>15.9785 * CHOOSE(CONTROL!$C$22, $C$13, 100%, $E$13)</f>
        <v>15.9785</v>
      </c>
      <c r="D1026" s="60">
        <f>15.9973 * CHOOSE(CONTROL!$C$22, $C$13, 100%, $E$13)</f>
        <v>15.997299999999999</v>
      </c>
      <c r="E1026" s="61">
        <f>19.2581 * CHOOSE(CONTROL!$C$22, $C$13, 100%, $E$13)</f>
        <v>19.258099999999999</v>
      </c>
      <c r="F1026" s="61">
        <f>19.2581 * CHOOSE(CONTROL!$C$22, $C$13, 100%, $E$13)</f>
        <v>19.258099999999999</v>
      </c>
      <c r="G1026" s="61">
        <f>19.2583 * CHOOSE(CONTROL!$C$22, $C$13, 100%, $E$13)</f>
        <v>19.258299999999998</v>
      </c>
      <c r="H1026" s="61">
        <f>31.5981* CHOOSE(CONTROL!$C$22, $C$13, 100%, $E$13)</f>
        <v>31.598099999999999</v>
      </c>
      <c r="I1026" s="61">
        <f>31.5982 * CHOOSE(CONTROL!$C$22, $C$13, 100%, $E$13)</f>
        <v>31.598199999999999</v>
      </c>
      <c r="J1026" s="61">
        <f>18.4638 * CHOOSE(CONTROL!$C$22, $C$13, 100%, $E$13)</f>
        <v>18.463799999999999</v>
      </c>
      <c r="K1026" s="61">
        <f>19.2583 * CHOOSE(CONTROL!$C$22, $C$13, 100%, $E$13)</f>
        <v>19.258299999999998</v>
      </c>
    </row>
    <row r="1027" spans="1:11" ht="15">
      <c r="A1027" s="13">
        <v>73110</v>
      </c>
      <c r="B1027" s="60">
        <f>15.9755 * CHOOSE(CONTROL!$C$22, $C$13, 100%, $E$13)</f>
        <v>15.9755</v>
      </c>
      <c r="C1027" s="60">
        <f>15.9755 * CHOOSE(CONTROL!$C$22, $C$13, 100%, $E$13)</f>
        <v>15.9755</v>
      </c>
      <c r="D1027" s="60">
        <f>15.9943 * CHOOSE(CONTROL!$C$22, $C$13, 100%, $E$13)</f>
        <v>15.994300000000001</v>
      </c>
      <c r="E1027" s="61">
        <f>19.517 * CHOOSE(CONTROL!$C$22, $C$13, 100%, $E$13)</f>
        <v>19.516999999999999</v>
      </c>
      <c r="F1027" s="61">
        <f>19.517 * CHOOSE(CONTROL!$C$22, $C$13, 100%, $E$13)</f>
        <v>19.516999999999999</v>
      </c>
      <c r="G1027" s="61">
        <f>19.5172 * CHOOSE(CONTROL!$C$22, $C$13, 100%, $E$13)</f>
        <v>19.517199999999999</v>
      </c>
      <c r="H1027" s="61">
        <f>31.6639* CHOOSE(CONTROL!$C$22, $C$13, 100%, $E$13)</f>
        <v>31.663900000000002</v>
      </c>
      <c r="I1027" s="61">
        <f>31.6641 * CHOOSE(CONTROL!$C$22, $C$13, 100%, $E$13)</f>
        <v>31.664100000000001</v>
      </c>
      <c r="J1027" s="61">
        <f>18.7098 * CHOOSE(CONTROL!$C$22, $C$13, 100%, $E$13)</f>
        <v>18.709800000000001</v>
      </c>
      <c r="K1027" s="61">
        <f>19.5172 * CHOOSE(CONTROL!$C$22, $C$13, 100%, $E$13)</f>
        <v>19.517199999999999</v>
      </c>
    </row>
    <row r="1028" spans="1:11" ht="15">
      <c r="A1028" s="13">
        <v>73141</v>
      </c>
      <c r="B1028" s="60">
        <f>15.985 * CHOOSE(CONTROL!$C$22, $C$13, 100%, $E$13)</f>
        <v>15.984999999999999</v>
      </c>
      <c r="C1028" s="60">
        <f>15.985 * CHOOSE(CONTROL!$C$22, $C$13, 100%, $E$13)</f>
        <v>15.984999999999999</v>
      </c>
      <c r="D1028" s="60">
        <f>16.0038 * CHOOSE(CONTROL!$C$22, $C$13, 100%, $E$13)</f>
        <v>16.003799999999998</v>
      </c>
      <c r="E1028" s="61">
        <f>19.793 * CHOOSE(CONTROL!$C$22, $C$13, 100%, $E$13)</f>
        <v>19.792999999999999</v>
      </c>
      <c r="F1028" s="61">
        <f>19.793 * CHOOSE(CONTROL!$C$22, $C$13, 100%, $E$13)</f>
        <v>19.792999999999999</v>
      </c>
      <c r="G1028" s="61">
        <f>19.7932 * CHOOSE(CONTROL!$C$22, $C$13, 100%, $E$13)</f>
        <v>19.793199999999999</v>
      </c>
      <c r="H1028" s="61">
        <f>31.7299* CHOOSE(CONTROL!$C$22, $C$13, 100%, $E$13)</f>
        <v>31.729900000000001</v>
      </c>
      <c r="I1028" s="61">
        <f>31.73 * CHOOSE(CONTROL!$C$22, $C$13, 100%, $E$13)</f>
        <v>31.73</v>
      </c>
      <c r="J1028" s="61">
        <f>18.972 * CHOOSE(CONTROL!$C$22, $C$13, 100%, $E$13)</f>
        <v>18.972000000000001</v>
      </c>
      <c r="K1028" s="61">
        <f>19.7932 * CHOOSE(CONTROL!$C$22, $C$13, 100%, $E$13)</f>
        <v>19.793199999999999</v>
      </c>
    </row>
    <row r="1029" spans="1:11" ht="15">
      <c r="A1029" s="13">
        <v>73171</v>
      </c>
      <c r="B1029" s="60">
        <f>15.985 * CHOOSE(CONTROL!$C$22, $C$13, 100%, $E$13)</f>
        <v>15.984999999999999</v>
      </c>
      <c r="C1029" s="60">
        <f>15.985 * CHOOSE(CONTROL!$C$22, $C$13, 100%, $E$13)</f>
        <v>15.984999999999999</v>
      </c>
      <c r="D1029" s="60">
        <f>16.0226 * CHOOSE(CONTROL!$C$22, $C$13, 100%, $E$13)</f>
        <v>16.022600000000001</v>
      </c>
      <c r="E1029" s="61">
        <f>19.8981 * CHOOSE(CONTROL!$C$22, $C$13, 100%, $E$13)</f>
        <v>19.898099999999999</v>
      </c>
      <c r="F1029" s="61">
        <f>19.8981 * CHOOSE(CONTROL!$C$22, $C$13, 100%, $E$13)</f>
        <v>19.898099999999999</v>
      </c>
      <c r="G1029" s="61">
        <f>19.9004 * CHOOSE(CONTROL!$C$22, $C$13, 100%, $E$13)</f>
        <v>19.900400000000001</v>
      </c>
      <c r="H1029" s="61">
        <f>31.796* CHOOSE(CONTROL!$C$22, $C$13, 100%, $E$13)</f>
        <v>31.795999999999999</v>
      </c>
      <c r="I1029" s="61">
        <f>31.7983 * CHOOSE(CONTROL!$C$22, $C$13, 100%, $E$13)</f>
        <v>31.798300000000001</v>
      </c>
      <c r="J1029" s="61">
        <f>19.0719 * CHOOSE(CONTROL!$C$22, $C$13, 100%, $E$13)</f>
        <v>19.071899999999999</v>
      </c>
      <c r="K1029" s="61">
        <f>19.9004 * CHOOSE(CONTROL!$C$22, $C$13, 100%, $E$13)</f>
        <v>19.900400000000001</v>
      </c>
    </row>
    <row r="1030" spans="1:11" ht="15">
      <c r="A1030" s="13">
        <v>73202</v>
      </c>
      <c r="B1030" s="60">
        <f>15.991 * CHOOSE(CONTROL!$C$22, $C$13, 100%, $E$13)</f>
        <v>15.991</v>
      </c>
      <c r="C1030" s="60">
        <f>15.991 * CHOOSE(CONTROL!$C$22, $C$13, 100%, $E$13)</f>
        <v>15.991</v>
      </c>
      <c r="D1030" s="60">
        <f>16.0287 * CHOOSE(CONTROL!$C$22, $C$13, 100%, $E$13)</f>
        <v>16.028700000000001</v>
      </c>
      <c r="E1030" s="61">
        <f>19.7972 * CHOOSE(CONTROL!$C$22, $C$13, 100%, $E$13)</f>
        <v>19.7972</v>
      </c>
      <c r="F1030" s="61">
        <f>19.7972 * CHOOSE(CONTROL!$C$22, $C$13, 100%, $E$13)</f>
        <v>19.7972</v>
      </c>
      <c r="G1030" s="61">
        <f>19.7995 * CHOOSE(CONTROL!$C$22, $C$13, 100%, $E$13)</f>
        <v>19.799499999999998</v>
      </c>
      <c r="H1030" s="61">
        <f>31.8622* CHOOSE(CONTROL!$C$22, $C$13, 100%, $E$13)</f>
        <v>31.862200000000001</v>
      </c>
      <c r="I1030" s="61">
        <f>31.8645 * CHOOSE(CONTROL!$C$22, $C$13, 100%, $E$13)</f>
        <v>31.8645</v>
      </c>
      <c r="J1030" s="61">
        <f>18.9762 * CHOOSE(CONTROL!$C$22, $C$13, 100%, $E$13)</f>
        <v>18.976199999999999</v>
      </c>
      <c r="K1030" s="61">
        <f>19.7995 * CHOOSE(CONTROL!$C$22, $C$13, 100%, $E$13)</f>
        <v>19.799499999999998</v>
      </c>
    </row>
    <row r="1031" spans="1:11" ht="15">
      <c r="A1031" s="13">
        <v>73232</v>
      </c>
      <c r="B1031" s="60">
        <f>16.2089 * CHOOSE(CONTROL!$C$22, $C$13, 100%, $E$13)</f>
        <v>16.2089</v>
      </c>
      <c r="C1031" s="60">
        <f>16.2089 * CHOOSE(CONTROL!$C$22, $C$13, 100%, $E$13)</f>
        <v>16.2089</v>
      </c>
      <c r="D1031" s="60">
        <f>16.2465 * CHOOSE(CONTROL!$C$22, $C$13, 100%, $E$13)</f>
        <v>16.246500000000001</v>
      </c>
      <c r="E1031" s="61">
        <f>20.1527 * CHOOSE(CONTROL!$C$22, $C$13, 100%, $E$13)</f>
        <v>20.152699999999999</v>
      </c>
      <c r="F1031" s="61">
        <f>20.1527 * CHOOSE(CONTROL!$C$22, $C$13, 100%, $E$13)</f>
        <v>20.152699999999999</v>
      </c>
      <c r="G1031" s="61">
        <f>20.1551 * CHOOSE(CONTROL!$C$22, $C$13, 100%, $E$13)</f>
        <v>20.155100000000001</v>
      </c>
      <c r="H1031" s="61">
        <f>31.9286* CHOOSE(CONTROL!$C$22, $C$13, 100%, $E$13)</f>
        <v>31.928599999999999</v>
      </c>
      <c r="I1031" s="61">
        <f>31.9309 * CHOOSE(CONTROL!$C$22, $C$13, 100%, $E$13)</f>
        <v>31.930900000000001</v>
      </c>
      <c r="J1031" s="61">
        <f>19.3177 * CHOOSE(CONTROL!$C$22, $C$13, 100%, $E$13)</f>
        <v>19.317699999999999</v>
      </c>
      <c r="K1031" s="61">
        <f>20.1551 * CHOOSE(CONTROL!$C$22, $C$13, 100%, $E$13)</f>
        <v>20.155100000000001</v>
      </c>
    </row>
    <row r="1032" spans="1:11" ht="15">
      <c r="A1032" s="13">
        <v>73263</v>
      </c>
      <c r="B1032" s="60">
        <f>16.2156 * CHOOSE(CONTROL!$C$22, $C$13, 100%, $E$13)</f>
        <v>16.215599999999998</v>
      </c>
      <c r="C1032" s="60">
        <f>16.2156 * CHOOSE(CONTROL!$C$22, $C$13, 100%, $E$13)</f>
        <v>16.215599999999998</v>
      </c>
      <c r="D1032" s="60">
        <f>16.2532 * CHOOSE(CONTROL!$C$22, $C$13, 100%, $E$13)</f>
        <v>16.2532</v>
      </c>
      <c r="E1032" s="61">
        <f>19.8421 * CHOOSE(CONTROL!$C$22, $C$13, 100%, $E$13)</f>
        <v>19.842099999999999</v>
      </c>
      <c r="F1032" s="61">
        <f>19.8421 * CHOOSE(CONTROL!$C$22, $C$13, 100%, $E$13)</f>
        <v>19.842099999999999</v>
      </c>
      <c r="G1032" s="61">
        <f>19.8444 * CHOOSE(CONTROL!$C$22, $C$13, 100%, $E$13)</f>
        <v>19.8444</v>
      </c>
      <c r="H1032" s="61">
        <f>31.9951* CHOOSE(CONTROL!$C$22, $C$13, 100%, $E$13)</f>
        <v>31.995100000000001</v>
      </c>
      <c r="I1032" s="61">
        <f>31.9974 * CHOOSE(CONTROL!$C$22, $C$13, 100%, $E$13)</f>
        <v>31.997399999999999</v>
      </c>
      <c r="J1032" s="61">
        <f>19.0226 * CHOOSE(CONTROL!$C$22, $C$13, 100%, $E$13)</f>
        <v>19.022600000000001</v>
      </c>
      <c r="K1032" s="61">
        <f>19.8444 * CHOOSE(CONTROL!$C$22, $C$13, 100%, $E$13)</f>
        <v>19.8444</v>
      </c>
    </row>
    <row r="1033" spans="1:11" ht="15">
      <c r="A1033" s="13">
        <v>73294</v>
      </c>
      <c r="B1033" s="60">
        <f>16.2125 * CHOOSE(CONTROL!$C$22, $C$13, 100%, $E$13)</f>
        <v>16.212499999999999</v>
      </c>
      <c r="C1033" s="60">
        <f>16.2125 * CHOOSE(CONTROL!$C$22, $C$13, 100%, $E$13)</f>
        <v>16.212499999999999</v>
      </c>
      <c r="D1033" s="60">
        <f>16.2502 * CHOOSE(CONTROL!$C$22, $C$13, 100%, $E$13)</f>
        <v>16.2502</v>
      </c>
      <c r="E1033" s="61">
        <f>19.805 * CHOOSE(CONTROL!$C$22, $C$13, 100%, $E$13)</f>
        <v>19.805</v>
      </c>
      <c r="F1033" s="61">
        <f>19.805 * CHOOSE(CONTROL!$C$22, $C$13, 100%, $E$13)</f>
        <v>19.805</v>
      </c>
      <c r="G1033" s="61">
        <f>19.8073 * CHOOSE(CONTROL!$C$22, $C$13, 100%, $E$13)</f>
        <v>19.807300000000001</v>
      </c>
      <c r="H1033" s="61">
        <f>32.0618* CHOOSE(CONTROL!$C$22, $C$13, 100%, $E$13)</f>
        <v>32.061799999999998</v>
      </c>
      <c r="I1033" s="61">
        <f>32.0641 * CHOOSE(CONTROL!$C$22, $C$13, 100%, $E$13)</f>
        <v>32.064100000000003</v>
      </c>
      <c r="J1033" s="61">
        <f>18.9871 * CHOOSE(CONTROL!$C$22, $C$13, 100%, $E$13)</f>
        <v>18.987100000000002</v>
      </c>
      <c r="K1033" s="61">
        <f>19.8073 * CHOOSE(CONTROL!$C$22, $C$13, 100%, $E$13)</f>
        <v>19.807300000000001</v>
      </c>
    </row>
    <row r="1034" spans="1:11" ht="15">
      <c r="A1034" s="13">
        <v>73324</v>
      </c>
      <c r="B1034" s="60">
        <f>16.254 * CHOOSE(CONTROL!$C$22, $C$13, 100%, $E$13)</f>
        <v>16.254000000000001</v>
      </c>
      <c r="C1034" s="60">
        <f>16.254 * CHOOSE(CONTROL!$C$22, $C$13, 100%, $E$13)</f>
        <v>16.254000000000001</v>
      </c>
      <c r="D1034" s="60">
        <f>16.2728 * CHOOSE(CONTROL!$C$22, $C$13, 100%, $E$13)</f>
        <v>16.2728</v>
      </c>
      <c r="E1034" s="61">
        <f>19.9317 * CHOOSE(CONTROL!$C$22, $C$13, 100%, $E$13)</f>
        <v>19.931699999999999</v>
      </c>
      <c r="F1034" s="61">
        <f>19.9317 * CHOOSE(CONTROL!$C$22, $C$13, 100%, $E$13)</f>
        <v>19.931699999999999</v>
      </c>
      <c r="G1034" s="61">
        <f>19.9319 * CHOOSE(CONTROL!$C$22, $C$13, 100%, $E$13)</f>
        <v>19.931899999999999</v>
      </c>
      <c r="H1034" s="61">
        <f>32.1286* CHOOSE(CONTROL!$C$22, $C$13, 100%, $E$13)</f>
        <v>32.128599999999999</v>
      </c>
      <c r="I1034" s="61">
        <f>32.1287 * CHOOSE(CONTROL!$C$22, $C$13, 100%, $E$13)</f>
        <v>32.128700000000002</v>
      </c>
      <c r="J1034" s="61">
        <f>19.107 * CHOOSE(CONTROL!$C$22, $C$13, 100%, $E$13)</f>
        <v>19.106999999999999</v>
      </c>
      <c r="K1034" s="61">
        <f>19.9319 * CHOOSE(CONTROL!$C$22, $C$13, 100%, $E$13)</f>
        <v>19.931899999999999</v>
      </c>
    </row>
    <row r="1035" spans="1:11" ht="15">
      <c r="A1035" s="13">
        <v>73355</v>
      </c>
      <c r="B1035" s="60">
        <f>16.2571 * CHOOSE(CONTROL!$C$22, $C$13, 100%, $E$13)</f>
        <v>16.257100000000001</v>
      </c>
      <c r="C1035" s="60">
        <f>16.2571 * CHOOSE(CONTROL!$C$22, $C$13, 100%, $E$13)</f>
        <v>16.257100000000001</v>
      </c>
      <c r="D1035" s="60">
        <f>16.2759 * CHOOSE(CONTROL!$C$22, $C$13, 100%, $E$13)</f>
        <v>16.2759</v>
      </c>
      <c r="E1035" s="61">
        <f>20.0039 * CHOOSE(CONTROL!$C$22, $C$13, 100%, $E$13)</f>
        <v>20.003900000000002</v>
      </c>
      <c r="F1035" s="61">
        <f>20.0039 * CHOOSE(CONTROL!$C$22, $C$13, 100%, $E$13)</f>
        <v>20.003900000000002</v>
      </c>
      <c r="G1035" s="61">
        <f>20.004 * CHOOSE(CONTROL!$C$22, $C$13, 100%, $E$13)</f>
        <v>20.004000000000001</v>
      </c>
      <c r="H1035" s="61">
        <f>32.1955* CHOOSE(CONTROL!$C$22, $C$13, 100%, $E$13)</f>
        <v>32.195500000000003</v>
      </c>
      <c r="I1035" s="61">
        <f>32.1957 * CHOOSE(CONTROL!$C$22, $C$13, 100%, $E$13)</f>
        <v>32.195700000000002</v>
      </c>
      <c r="J1035" s="61">
        <f>19.1757 * CHOOSE(CONTROL!$C$22, $C$13, 100%, $E$13)</f>
        <v>19.175699999999999</v>
      </c>
      <c r="K1035" s="61">
        <f>20.004 * CHOOSE(CONTROL!$C$22, $C$13, 100%, $E$13)</f>
        <v>20.004000000000001</v>
      </c>
    </row>
    <row r="1036" spans="1:11" ht="15">
      <c r="A1036" s="13">
        <v>73385</v>
      </c>
      <c r="B1036" s="60">
        <f>16.2571 * CHOOSE(CONTROL!$C$22, $C$13, 100%, $E$13)</f>
        <v>16.257100000000001</v>
      </c>
      <c r="C1036" s="60">
        <f>16.2571 * CHOOSE(CONTROL!$C$22, $C$13, 100%, $E$13)</f>
        <v>16.257100000000001</v>
      </c>
      <c r="D1036" s="60">
        <f>16.2759 * CHOOSE(CONTROL!$C$22, $C$13, 100%, $E$13)</f>
        <v>16.2759</v>
      </c>
      <c r="E1036" s="61">
        <f>19.8287 * CHOOSE(CONTROL!$C$22, $C$13, 100%, $E$13)</f>
        <v>19.828700000000001</v>
      </c>
      <c r="F1036" s="61">
        <f>19.8287 * CHOOSE(CONTROL!$C$22, $C$13, 100%, $E$13)</f>
        <v>19.828700000000001</v>
      </c>
      <c r="G1036" s="61">
        <f>19.8289 * CHOOSE(CONTROL!$C$22, $C$13, 100%, $E$13)</f>
        <v>19.828900000000001</v>
      </c>
      <c r="H1036" s="61">
        <f>32.2626* CHOOSE(CONTROL!$C$22, $C$13, 100%, $E$13)</f>
        <v>32.262599999999999</v>
      </c>
      <c r="I1036" s="61">
        <f>32.2627 * CHOOSE(CONTROL!$C$22, $C$13, 100%, $E$13)</f>
        <v>32.262700000000002</v>
      </c>
      <c r="J1036" s="61">
        <f>19.0091 * CHOOSE(CONTROL!$C$22, $C$13, 100%, $E$13)</f>
        <v>19.0091</v>
      </c>
      <c r="K1036" s="61">
        <f>19.8289 * CHOOSE(CONTROL!$C$22, $C$13, 100%, $E$13)</f>
        <v>19.828900000000001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2.3326333333333338</v>
      </c>
      <c r="C1038" s="60">
        <f t="shared" si="0"/>
        <v>2.3326333333333338</v>
      </c>
      <c r="D1038" s="60">
        <f t="shared" si="0"/>
        <v>2.3592749999999998</v>
      </c>
      <c r="E1038" s="60">
        <f t="shared" si="0"/>
        <v>3.0010749999999997</v>
      </c>
      <c r="F1038" s="60">
        <f t="shared" si="0"/>
        <v>2.0505</v>
      </c>
      <c r="G1038" s="60">
        <f t="shared" si="0"/>
        <v>2.0515750000000001</v>
      </c>
      <c r="H1038" s="60">
        <f t="shared" si="0"/>
        <v>5.2195333333333336</v>
      </c>
      <c r="I1038" s="60">
        <f t="shared" si="0"/>
        <v>5.2206000000000001</v>
      </c>
      <c r="J1038" s="60">
        <f t="shared" si="0"/>
        <v>3.0010749999999997</v>
      </c>
      <c r="K1038" s="60">
        <f t="shared" si="0"/>
        <v>3.0021416666666667</v>
      </c>
    </row>
    <row r="1039" spans="1:11" ht="15">
      <c r="A1039" s="3">
        <v>2017</v>
      </c>
      <c r="B1039" s="60">
        <f t="shared" ref="B1039:K1039" si="1">AVERAGE(B29:B40)</f>
        <v>2.2862499999999994</v>
      </c>
      <c r="C1039" s="60">
        <f t="shared" si="1"/>
        <v>2.2862499999999994</v>
      </c>
      <c r="D1039" s="60">
        <f t="shared" si="1"/>
        <v>2.3129166666666667</v>
      </c>
      <c r="E1039" s="60">
        <f t="shared" si="1"/>
        <v>3.4390666666666667</v>
      </c>
      <c r="F1039" s="60">
        <f t="shared" si="1"/>
        <v>2.0505</v>
      </c>
      <c r="G1039" s="60">
        <f t="shared" si="1"/>
        <v>2.0515750000000001</v>
      </c>
      <c r="H1039" s="60">
        <f t="shared" si="1"/>
        <v>5.3515249999999996</v>
      </c>
      <c r="I1039" s="60">
        <f t="shared" si="1"/>
        <v>5.3525916666666662</v>
      </c>
      <c r="J1039" s="60">
        <f t="shared" si="1"/>
        <v>3.4390666666666667</v>
      </c>
      <c r="K1039" s="60">
        <f t="shared" si="1"/>
        <v>3.4401416666666673</v>
      </c>
    </row>
    <row r="1040" spans="1:11" ht="15">
      <c r="A1040" s="3">
        <v>2018</v>
      </c>
      <c r="B1040" s="60">
        <f t="shared" ref="B1040:K1040" si="2">AVERAGE(B41:B52)</f>
        <v>2.3824083333333332</v>
      </c>
      <c r="C1040" s="60">
        <f t="shared" si="2"/>
        <v>2.3824083333333332</v>
      </c>
      <c r="D1040" s="60">
        <f t="shared" si="2"/>
        <v>2.4090500000000001</v>
      </c>
      <c r="E1040" s="60">
        <f t="shared" si="2"/>
        <v>2.4131499999999995</v>
      </c>
      <c r="F1040" s="60">
        <f t="shared" si="2"/>
        <v>2.4131499999999995</v>
      </c>
      <c r="G1040" s="60">
        <f t="shared" si="2"/>
        <v>2.4141916666666665</v>
      </c>
      <c r="H1040" s="60">
        <f t="shared" si="2"/>
        <v>5.4868499999999996</v>
      </c>
      <c r="I1040" s="60">
        <f t="shared" si="2"/>
        <v>5.4879333333333333</v>
      </c>
      <c r="J1040" s="60">
        <f t="shared" si="2"/>
        <v>2.4131499999999995</v>
      </c>
      <c r="K1040" s="60">
        <f t="shared" si="2"/>
        <v>2.4141916666666665</v>
      </c>
    </row>
    <row r="1041" spans="1:11" ht="15">
      <c r="A1041" s="3">
        <v>2019</v>
      </c>
      <c r="B1041" s="60">
        <f t="shared" ref="B1041:K1041" si="3">AVERAGE(B53:B64)</f>
        <v>2.4799249999999997</v>
      </c>
      <c r="C1041" s="60">
        <f t="shared" si="3"/>
        <v>2.4799249999999997</v>
      </c>
      <c r="D1041" s="60">
        <f t="shared" si="3"/>
        <v>2.5065666666666671</v>
      </c>
      <c r="E1041" s="60">
        <f t="shared" si="3"/>
        <v>2.5851166666666665</v>
      </c>
      <c r="F1041" s="60">
        <f t="shared" si="3"/>
        <v>2.5851166666666665</v>
      </c>
      <c r="G1041" s="60">
        <f t="shared" si="3"/>
        <v>2.5861833333333335</v>
      </c>
      <c r="H1041" s="60">
        <f t="shared" si="3"/>
        <v>5.6256000000000013</v>
      </c>
      <c r="I1041" s="60">
        <f t="shared" si="3"/>
        <v>5.6266833333333333</v>
      </c>
      <c r="J1041" s="60">
        <f t="shared" si="3"/>
        <v>2.5851166666666665</v>
      </c>
      <c r="K1041" s="60">
        <f t="shared" si="3"/>
        <v>2.5861833333333335</v>
      </c>
    </row>
    <row r="1042" spans="1:11" ht="15">
      <c r="A1042" s="3">
        <v>2020</v>
      </c>
      <c r="B1042" s="60">
        <f t="shared" ref="B1042:K1042" si="4">AVERAGE(B65:B76)</f>
        <v>2.7314916666666664</v>
      </c>
      <c r="C1042" s="60">
        <f t="shared" si="4"/>
        <v>2.7314916666666664</v>
      </c>
      <c r="D1042" s="60">
        <f t="shared" si="4"/>
        <v>2.7581500000000001</v>
      </c>
      <c r="E1042" s="60">
        <f t="shared" si="4"/>
        <v>2.7418416666666663</v>
      </c>
      <c r="F1042" s="60">
        <f t="shared" si="4"/>
        <v>2.7418416666666663</v>
      </c>
      <c r="G1042" s="60">
        <f t="shared" si="4"/>
        <v>2.7429083333333328</v>
      </c>
      <c r="H1042" s="60">
        <f t="shared" si="4"/>
        <v>5.7678833333333337</v>
      </c>
      <c r="I1042" s="60">
        <f t="shared" si="4"/>
        <v>5.7689500000000002</v>
      </c>
      <c r="J1042" s="60">
        <f t="shared" si="4"/>
        <v>2.7418416666666663</v>
      </c>
      <c r="K1042" s="60">
        <f t="shared" si="4"/>
        <v>2.7429083333333328</v>
      </c>
    </row>
    <row r="1043" spans="1:11" ht="15">
      <c r="A1043" s="3">
        <v>2021</v>
      </c>
      <c r="B1043" s="60">
        <f t="shared" ref="B1043:K1043" si="5">AVERAGE(B77:B88)</f>
        <v>2.8390749999999998</v>
      </c>
      <c r="C1043" s="60">
        <f t="shared" si="5"/>
        <v>2.8390749999999998</v>
      </c>
      <c r="D1043" s="60">
        <f t="shared" si="5"/>
        <v>2.8657166666666662</v>
      </c>
      <c r="E1043" s="60">
        <f t="shared" si="5"/>
        <v>2.8837499999999996</v>
      </c>
      <c r="F1043" s="60">
        <f t="shared" si="5"/>
        <v>2.8837499999999996</v>
      </c>
      <c r="G1043" s="60">
        <f t="shared" si="5"/>
        <v>2.8848249999999998</v>
      </c>
      <c r="H1043" s="60">
        <f t="shared" si="5"/>
        <v>5.9137416666666667</v>
      </c>
      <c r="I1043" s="60">
        <f t="shared" si="5"/>
        <v>5.9148166666666668</v>
      </c>
      <c r="J1043" s="60">
        <f t="shared" si="5"/>
        <v>2.8837499999999996</v>
      </c>
      <c r="K1043" s="60">
        <f t="shared" si="5"/>
        <v>2.8848249999999998</v>
      </c>
    </row>
    <row r="1044" spans="1:11" ht="15">
      <c r="A1044" s="3">
        <v>2022</v>
      </c>
      <c r="B1044" s="60">
        <f t="shared" ref="B1044:K1044" si="6">AVERAGE(B89:B100)</f>
        <v>2.9780166666666665</v>
      </c>
      <c r="C1044" s="60">
        <f t="shared" si="6"/>
        <v>2.9780166666666665</v>
      </c>
      <c r="D1044" s="60">
        <f t="shared" si="6"/>
        <v>3.0046833333333338</v>
      </c>
      <c r="E1044" s="60">
        <f t="shared" si="6"/>
        <v>3.0113999999999987</v>
      </c>
      <c r="F1044" s="60">
        <f t="shared" si="6"/>
        <v>3.0113999999999987</v>
      </c>
      <c r="G1044" s="60">
        <f t="shared" si="6"/>
        <v>3.0124749999999998</v>
      </c>
      <c r="H1044" s="60">
        <f t="shared" si="6"/>
        <v>6.0632833333333345</v>
      </c>
      <c r="I1044" s="60">
        <f t="shared" si="6"/>
        <v>6.0643583333333337</v>
      </c>
      <c r="J1044" s="60">
        <f t="shared" si="6"/>
        <v>3.0113999999999987</v>
      </c>
      <c r="K1044" s="60">
        <f t="shared" si="6"/>
        <v>3.0124749999999998</v>
      </c>
    </row>
    <row r="1045" spans="1:11" ht="15">
      <c r="A1045" s="3">
        <v>2023</v>
      </c>
      <c r="B1045" s="60">
        <f t="shared" ref="B1045:K1045" si="7">AVERAGE(B101:B112)</f>
        <v>3.0768416666666667</v>
      </c>
      <c r="C1045" s="60">
        <f t="shared" si="7"/>
        <v>3.0768416666666667</v>
      </c>
      <c r="D1045" s="60">
        <f t="shared" si="7"/>
        <v>3.1035000000000004</v>
      </c>
      <c r="E1045" s="60">
        <f t="shared" si="7"/>
        <v>3.1658749999999998</v>
      </c>
      <c r="F1045" s="60">
        <f t="shared" si="7"/>
        <v>3.1658749999999998</v>
      </c>
      <c r="G1045" s="60">
        <f t="shared" si="7"/>
        <v>3.1669666666666667</v>
      </c>
      <c r="H1045" s="60">
        <f t="shared" si="7"/>
        <v>6.2166166666666669</v>
      </c>
      <c r="I1045" s="60">
        <f t="shared" si="7"/>
        <v>6.2176833333333335</v>
      </c>
      <c r="J1045" s="60">
        <f t="shared" si="7"/>
        <v>3.1658749999999998</v>
      </c>
      <c r="K1045" s="60">
        <f t="shared" si="7"/>
        <v>3.1669666666666667</v>
      </c>
    </row>
    <row r="1046" spans="1:11" ht="15">
      <c r="A1046" s="3">
        <v>2024</v>
      </c>
      <c r="B1046" s="60">
        <f t="shared" ref="B1046:K1046" si="8">AVERAGE(B113:B124)</f>
        <v>3.1546750000000006</v>
      </c>
      <c r="C1046" s="60">
        <f t="shared" si="8"/>
        <v>3.1546750000000006</v>
      </c>
      <c r="D1046" s="60">
        <f t="shared" si="8"/>
        <v>3.1813333333333329</v>
      </c>
      <c r="E1046" s="60">
        <f t="shared" si="8"/>
        <v>3.2875416666666664</v>
      </c>
      <c r="F1046" s="60">
        <f t="shared" si="8"/>
        <v>3.2875416666666664</v>
      </c>
      <c r="G1046" s="60">
        <f t="shared" si="8"/>
        <v>3.2885750000000002</v>
      </c>
      <c r="H1046" s="60">
        <f t="shared" si="8"/>
        <v>6.3738250000000001</v>
      </c>
      <c r="I1046" s="60">
        <f t="shared" si="8"/>
        <v>6.3748916666666666</v>
      </c>
      <c r="J1046" s="60">
        <f t="shared" si="8"/>
        <v>3.2875416666666664</v>
      </c>
      <c r="K1046" s="60">
        <f t="shared" si="8"/>
        <v>3.2885750000000002</v>
      </c>
    </row>
    <row r="1047" spans="1:11" ht="15">
      <c r="A1047" s="3">
        <v>2025</v>
      </c>
      <c r="B1047" s="60">
        <f t="shared" ref="B1047:K1047" si="9">AVERAGE(B125:B136)</f>
        <v>3.2306000000000004</v>
      </c>
      <c r="C1047" s="60">
        <f t="shared" si="9"/>
        <v>3.2306000000000004</v>
      </c>
      <c r="D1047" s="60">
        <f t="shared" si="9"/>
        <v>3.2572333333333332</v>
      </c>
      <c r="E1047" s="60">
        <f t="shared" si="9"/>
        <v>3.4095249999999999</v>
      </c>
      <c r="F1047" s="60">
        <f t="shared" si="9"/>
        <v>3.4095249999999999</v>
      </c>
      <c r="G1047" s="60">
        <f t="shared" si="9"/>
        <v>3.4105916666666665</v>
      </c>
      <c r="H1047" s="60">
        <f t="shared" si="9"/>
        <v>6.5350166666666674</v>
      </c>
      <c r="I1047" s="60">
        <f t="shared" si="9"/>
        <v>6.5360916666666675</v>
      </c>
      <c r="J1047" s="60">
        <f t="shared" si="9"/>
        <v>3.4095249999999999</v>
      </c>
      <c r="K1047" s="60">
        <f t="shared" si="9"/>
        <v>3.4105916666666665</v>
      </c>
    </row>
    <row r="1048" spans="1:11" ht="15">
      <c r="A1048" s="3">
        <v>2026</v>
      </c>
      <c r="B1048" s="60">
        <f t="shared" ref="B1048:K1048" si="10">AVERAGE(B137:B148)</f>
        <v>3.3089750000000002</v>
      </c>
      <c r="C1048" s="60">
        <f t="shared" si="10"/>
        <v>3.3089750000000002</v>
      </c>
      <c r="D1048" s="60">
        <f t="shared" si="10"/>
        <v>3.3356249999999998</v>
      </c>
      <c r="E1048" s="60">
        <f t="shared" si="10"/>
        <v>3.5205666666666668</v>
      </c>
      <c r="F1048" s="60">
        <f t="shared" si="10"/>
        <v>3.5205666666666668</v>
      </c>
      <c r="G1048" s="60">
        <f t="shared" si="10"/>
        <v>3.5216249999999998</v>
      </c>
      <c r="H1048" s="60">
        <f t="shared" si="10"/>
        <v>6.7002666666666668</v>
      </c>
      <c r="I1048" s="60">
        <f t="shared" si="10"/>
        <v>6.701341666666667</v>
      </c>
      <c r="J1048" s="60">
        <f t="shared" si="10"/>
        <v>3.5205666666666668</v>
      </c>
      <c r="K1048" s="60">
        <f t="shared" si="10"/>
        <v>3.5216249999999998</v>
      </c>
    </row>
    <row r="1049" spans="1:11" ht="15">
      <c r="A1049" s="3">
        <v>2027</v>
      </c>
      <c r="B1049" s="60">
        <f t="shared" ref="B1049:K1049" si="11">AVERAGE(B149:B160)</f>
        <v>3.3874416666666671</v>
      </c>
      <c r="C1049" s="60">
        <f t="shared" si="11"/>
        <v>3.3874416666666671</v>
      </c>
      <c r="D1049" s="60">
        <f t="shared" si="11"/>
        <v>3.4140833333333327</v>
      </c>
      <c r="E1049" s="60">
        <f t="shared" si="11"/>
        <v>3.6206999999999998</v>
      </c>
      <c r="F1049" s="60">
        <f t="shared" si="11"/>
        <v>3.6206999999999998</v>
      </c>
      <c r="G1049" s="60">
        <f t="shared" si="11"/>
        <v>3.6217666666666664</v>
      </c>
      <c r="H1049" s="60">
        <f t="shared" si="11"/>
        <v>6.8697249999999999</v>
      </c>
      <c r="I1049" s="60">
        <f t="shared" si="11"/>
        <v>6.8707833333333328</v>
      </c>
      <c r="J1049" s="60">
        <f t="shared" si="11"/>
        <v>3.6206999999999998</v>
      </c>
      <c r="K1049" s="60">
        <f t="shared" si="11"/>
        <v>3.6217666666666664</v>
      </c>
    </row>
    <row r="1050" spans="1:11" ht="15">
      <c r="A1050" s="3">
        <v>2028</v>
      </c>
      <c r="B1050" s="60">
        <f t="shared" ref="B1050:K1050" si="12">AVERAGE(B161:B172)</f>
        <v>3.4717833333333332</v>
      </c>
      <c r="C1050" s="60">
        <f t="shared" si="12"/>
        <v>3.4717833333333332</v>
      </c>
      <c r="D1050" s="60">
        <f t="shared" si="12"/>
        <v>3.498416666666667</v>
      </c>
      <c r="E1050" s="60">
        <f t="shared" si="12"/>
        <v>3.6455333333333333</v>
      </c>
      <c r="F1050" s="60">
        <f t="shared" si="12"/>
        <v>3.6455333333333333</v>
      </c>
      <c r="G1050" s="60">
        <f t="shared" si="12"/>
        <v>3.6465833333333326</v>
      </c>
      <c r="H1050" s="60">
        <f t="shared" si="12"/>
        <v>7.043425</v>
      </c>
      <c r="I1050" s="60">
        <f t="shared" si="12"/>
        <v>7.0444999999999993</v>
      </c>
      <c r="J1050" s="60">
        <f t="shared" si="12"/>
        <v>3.6455333333333333</v>
      </c>
      <c r="K1050" s="60">
        <f t="shared" si="12"/>
        <v>3.6465833333333326</v>
      </c>
    </row>
    <row r="1051" spans="1:11" ht="15">
      <c r="A1051" s="3">
        <v>2029</v>
      </c>
      <c r="B1051" s="60">
        <f t="shared" ref="B1051:K1051" si="13">AVERAGE(B173:B184)</f>
        <v>3.5597499999999997</v>
      </c>
      <c r="C1051" s="60">
        <f t="shared" si="13"/>
        <v>3.5597499999999997</v>
      </c>
      <c r="D1051" s="60">
        <f t="shared" si="13"/>
        <v>3.5864083333333343</v>
      </c>
      <c r="E1051" s="60">
        <f t="shared" si="13"/>
        <v>3.7360416666666669</v>
      </c>
      <c r="F1051" s="60">
        <f t="shared" si="13"/>
        <v>3.7360416666666669</v>
      </c>
      <c r="G1051" s="60">
        <f t="shared" si="13"/>
        <v>3.737108333333333</v>
      </c>
      <c r="H1051" s="60">
        <f t="shared" si="13"/>
        <v>7.2215750000000005</v>
      </c>
      <c r="I1051" s="60">
        <f t="shared" si="13"/>
        <v>7.2226333333333335</v>
      </c>
      <c r="J1051" s="60">
        <f t="shared" si="13"/>
        <v>3.7360416666666669</v>
      </c>
      <c r="K1051" s="60">
        <f t="shared" si="13"/>
        <v>3.737108333333333</v>
      </c>
    </row>
    <row r="1052" spans="1:11" ht="15">
      <c r="A1052" s="3">
        <v>2030</v>
      </c>
      <c r="B1052" s="60">
        <f t="shared" ref="B1052:K1052" si="14">AVERAGE(B185:B196)</f>
        <v>3.6564333333333328</v>
      </c>
      <c r="C1052" s="60">
        <f t="shared" si="14"/>
        <v>3.6564333333333328</v>
      </c>
      <c r="D1052" s="60">
        <f t="shared" si="14"/>
        <v>3.6830750000000001</v>
      </c>
      <c r="E1052" s="60">
        <f t="shared" si="14"/>
        <v>3.8432166666666667</v>
      </c>
      <c r="F1052" s="60">
        <f t="shared" si="14"/>
        <v>3.8432166666666667</v>
      </c>
      <c r="G1052" s="60">
        <f t="shared" si="14"/>
        <v>3.8442666666666665</v>
      </c>
      <c r="H1052" s="60">
        <f t="shared" si="14"/>
        <v>7.4041833333333331</v>
      </c>
      <c r="I1052" s="60">
        <f t="shared" si="14"/>
        <v>7.4052333333333324</v>
      </c>
      <c r="J1052" s="60">
        <f t="shared" si="14"/>
        <v>3.8432166666666667</v>
      </c>
      <c r="K1052" s="60">
        <f t="shared" si="14"/>
        <v>3.8442666666666665</v>
      </c>
    </row>
    <row r="1053" spans="1:11" ht="15">
      <c r="A1053" s="3">
        <v>2031</v>
      </c>
      <c r="B1053" s="60">
        <f t="shared" ref="B1053:K1053" si="15">AVERAGE(B197:B208)</f>
        <v>3.7383999999999999</v>
      </c>
      <c r="C1053" s="60">
        <f t="shared" si="15"/>
        <v>3.7383999999999999</v>
      </c>
      <c r="D1053" s="60">
        <f t="shared" si="15"/>
        <v>3.7650666666666663</v>
      </c>
      <c r="E1053" s="60">
        <f t="shared" si="15"/>
        <v>3.9515583333333333</v>
      </c>
      <c r="F1053" s="60">
        <f t="shared" si="15"/>
        <v>3.9515583333333333</v>
      </c>
      <c r="G1053" s="60">
        <f t="shared" si="15"/>
        <v>3.9526249999999998</v>
      </c>
      <c r="H1053" s="60">
        <f t="shared" si="15"/>
        <v>7.5914166666666674</v>
      </c>
      <c r="I1053" s="60">
        <f t="shared" si="15"/>
        <v>7.5924750000000003</v>
      </c>
      <c r="J1053" s="60">
        <f t="shared" si="15"/>
        <v>3.9515583333333333</v>
      </c>
      <c r="K1053" s="60">
        <f t="shared" si="15"/>
        <v>3.9526249999999998</v>
      </c>
    </row>
    <row r="1054" spans="1:11" ht="15">
      <c r="A1054" s="3">
        <v>2032</v>
      </c>
      <c r="B1054" s="60">
        <f t="shared" ref="B1054:K1054" si="16">AVERAGE(B209:B220)</f>
        <v>3.8228833333333339</v>
      </c>
      <c r="C1054" s="60">
        <f t="shared" si="16"/>
        <v>3.8228833333333339</v>
      </c>
      <c r="D1054" s="60">
        <f t="shared" si="16"/>
        <v>3.8495249999999999</v>
      </c>
      <c r="E1054" s="60">
        <f t="shared" si="16"/>
        <v>4.0618500000000006</v>
      </c>
      <c r="F1054" s="60">
        <f t="shared" si="16"/>
        <v>4.0618500000000006</v>
      </c>
      <c r="G1054" s="60">
        <f t="shared" si="16"/>
        <v>4.062924999999999</v>
      </c>
      <c r="H1054" s="60">
        <f t="shared" si="16"/>
        <v>7.7833833333333331</v>
      </c>
      <c r="I1054" s="60">
        <f t="shared" si="16"/>
        <v>7.7844583333333341</v>
      </c>
      <c r="J1054" s="60">
        <f t="shared" si="16"/>
        <v>4.0618500000000006</v>
      </c>
      <c r="K1054" s="60">
        <f t="shared" si="16"/>
        <v>4.062924999999999</v>
      </c>
    </row>
    <row r="1055" spans="1:11" ht="15">
      <c r="A1055" s="3">
        <v>2033</v>
      </c>
      <c r="B1055" s="60">
        <f t="shared" ref="B1055:K1055" si="17">AVERAGE(B221:B232)</f>
        <v>3.9006083333333326</v>
      </c>
      <c r="C1055" s="60">
        <f t="shared" si="17"/>
        <v>3.9006083333333326</v>
      </c>
      <c r="D1055" s="60">
        <f t="shared" si="17"/>
        <v>3.9272583333333331</v>
      </c>
      <c r="E1055" s="60">
        <f t="shared" si="17"/>
        <v>4.1747916666666658</v>
      </c>
      <c r="F1055" s="60">
        <f t="shared" si="17"/>
        <v>4.1747916666666658</v>
      </c>
      <c r="G1055" s="60">
        <f t="shared" si="17"/>
        <v>4.1758583333333332</v>
      </c>
      <c r="H1055" s="60">
        <f t="shared" si="17"/>
        <v>7.9802166666666663</v>
      </c>
      <c r="I1055" s="60">
        <f t="shared" si="17"/>
        <v>7.9813000000000009</v>
      </c>
      <c r="J1055" s="60">
        <f t="shared" si="17"/>
        <v>4.1747916666666658</v>
      </c>
      <c r="K1055" s="60">
        <f t="shared" si="17"/>
        <v>4.1758583333333332</v>
      </c>
    </row>
    <row r="1056" spans="1:11" ht="15">
      <c r="A1056" s="3">
        <v>2034</v>
      </c>
      <c r="B1056" s="60">
        <f t="shared" ref="B1056:K1056" si="18">AVERAGE(B233:B244)</f>
        <v>3.9877083333333334</v>
      </c>
      <c r="C1056" s="60">
        <f t="shared" si="18"/>
        <v>3.9877083333333334</v>
      </c>
      <c r="D1056" s="60">
        <f t="shared" si="18"/>
        <v>4.0143583333333339</v>
      </c>
      <c r="E1056" s="60">
        <f t="shared" si="18"/>
        <v>4.2910750000000002</v>
      </c>
      <c r="F1056" s="60">
        <f t="shared" si="18"/>
        <v>4.2910750000000002</v>
      </c>
      <c r="G1056" s="60">
        <f t="shared" si="18"/>
        <v>4.2921416666666667</v>
      </c>
      <c r="H1056" s="60">
        <f t="shared" si="18"/>
        <v>8.1820250000000012</v>
      </c>
      <c r="I1056" s="60">
        <f t="shared" si="18"/>
        <v>8.183091666666666</v>
      </c>
      <c r="J1056" s="60">
        <f t="shared" si="18"/>
        <v>4.2910750000000002</v>
      </c>
      <c r="K1056" s="60">
        <f t="shared" si="18"/>
        <v>4.2921416666666667</v>
      </c>
    </row>
    <row r="1057" spans="1:11" ht="15">
      <c r="A1057" s="3">
        <v>2035</v>
      </c>
      <c r="B1057" s="60">
        <f t="shared" ref="B1057:K1057" si="19">AVERAGE(B245:B256)</f>
        <v>4.0831583333333343</v>
      </c>
      <c r="C1057" s="60">
        <f t="shared" si="19"/>
        <v>4.0831583333333343</v>
      </c>
      <c r="D1057" s="60">
        <f t="shared" si="19"/>
        <v>4.1098166666666662</v>
      </c>
      <c r="E1057" s="60">
        <f t="shared" si="19"/>
        <v>4.4108166666666664</v>
      </c>
      <c r="F1057" s="60">
        <f t="shared" si="19"/>
        <v>4.4108166666666664</v>
      </c>
      <c r="G1057" s="60">
        <f t="shared" si="19"/>
        <v>4.4118749999999993</v>
      </c>
      <c r="H1057" s="60">
        <f t="shared" si="19"/>
        <v>8.3889583333333348</v>
      </c>
      <c r="I1057" s="60">
        <f t="shared" si="19"/>
        <v>8.3900083333333324</v>
      </c>
      <c r="J1057" s="60">
        <f t="shared" si="19"/>
        <v>4.4108166666666664</v>
      </c>
      <c r="K1057" s="60">
        <f t="shared" si="19"/>
        <v>4.4118749999999993</v>
      </c>
    </row>
    <row r="1058" spans="1:11" ht="15">
      <c r="A1058" s="3">
        <v>2036</v>
      </c>
      <c r="B1058" s="60">
        <f t="shared" ref="B1058:K1058" si="20">AVERAGE(B257:B268)</f>
        <v>4.1822749999999997</v>
      </c>
      <c r="C1058" s="60">
        <f t="shared" si="20"/>
        <v>4.1822749999999997</v>
      </c>
      <c r="D1058" s="60">
        <f t="shared" si="20"/>
        <v>4.2089500000000006</v>
      </c>
      <c r="E1058" s="60">
        <f t="shared" si="20"/>
        <v>4.5303666666666667</v>
      </c>
      <c r="F1058" s="60">
        <f t="shared" si="20"/>
        <v>4.5303666666666667</v>
      </c>
      <c r="G1058" s="60">
        <f t="shared" si="20"/>
        <v>4.5314166666666669</v>
      </c>
      <c r="H1058" s="60">
        <f t="shared" si="20"/>
        <v>8.6010833333333334</v>
      </c>
      <c r="I1058" s="60">
        <f t="shared" si="20"/>
        <v>8.6021583333333336</v>
      </c>
      <c r="J1058" s="60">
        <f t="shared" si="20"/>
        <v>4.5303666666666667</v>
      </c>
      <c r="K1058" s="60">
        <f t="shared" si="20"/>
        <v>4.5314166666666669</v>
      </c>
    </row>
    <row r="1059" spans="1:11" ht="15">
      <c r="A1059" s="3">
        <v>2037</v>
      </c>
      <c r="B1059" s="60">
        <f t="shared" ref="B1059:K1059" si="21">AVERAGE(B269:B280)</f>
        <v>4.2830666666666675</v>
      </c>
      <c r="C1059" s="60">
        <f t="shared" si="21"/>
        <v>4.2830666666666675</v>
      </c>
      <c r="D1059" s="60">
        <f t="shared" si="21"/>
        <v>4.309733333333333</v>
      </c>
      <c r="E1059" s="60">
        <f t="shared" si="21"/>
        <v>4.6544583333333334</v>
      </c>
      <c r="F1059" s="60">
        <f t="shared" si="21"/>
        <v>4.6544583333333334</v>
      </c>
      <c r="G1059" s="60">
        <f t="shared" si="21"/>
        <v>4.6555333333333335</v>
      </c>
      <c r="H1059" s="60">
        <f t="shared" si="21"/>
        <v>8.8185916666666682</v>
      </c>
      <c r="I1059" s="60">
        <f t="shared" si="21"/>
        <v>8.8196666666666665</v>
      </c>
      <c r="J1059" s="60">
        <f t="shared" si="21"/>
        <v>4.6544583333333334</v>
      </c>
      <c r="K1059" s="60">
        <f t="shared" si="21"/>
        <v>4.6555333333333335</v>
      </c>
    </row>
    <row r="1060" spans="1:11" ht="15">
      <c r="A1060" s="3">
        <v>2038</v>
      </c>
      <c r="B1060" s="60">
        <f t="shared" ref="B1060:K1060" si="22">AVERAGE(B281:B292)</f>
        <v>4.3887583333333327</v>
      </c>
      <c r="C1060" s="60">
        <f t="shared" si="22"/>
        <v>4.3887583333333327</v>
      </c>
      <c r="D1060" s="60">
        <f t="shared" si="22"/>
        <v>4.4154000000000009</v>
      </c>
      <c r="E1060" s="60">
        <f t="shared" si="22"/>
        <v>4.7885083333333336</v>
      </c>
      <c r="F1060" s="60">
        <f t="shared" si="22"/>
        <v>4.7885083333333336</v>
      </c>
      <c r="G1060" s="60">
        <f t="shared" si="22"/>
        <v>4.7895833333333329</v>
      </c>
      <c r="H1060" s="60">
        <f t="shared" si="22"/>
        <v>9.041616666666668</v>
      </c>
      <c r="I1060" s="60">
        <f t="shared" si="22"/>
        <v>9.0426583333333337</v>
      </c>
      <c r="J1060" s="60">
        <f t="shared" si="22"/>
        <v>4.7885083333333336</v>
      </c>
      <c r="K1060" s="60">
        <f t="shared" si="22"/>
        <v>4.7895833333333329</v>
      </c>
    </row>
    <row r="1061" spans="1:11" ht="15">
      <c r="A1061" s="3">
        <v>2039</v>
      </c>
      <c r="B1061" s="60">
        <f t="shared" ref="B1061:K1061" si="23">AVERAGE(B293:B304)</f>
        <v>4.4963916666666668</v>
      </c>
      <c r="C1061" s="60">
        <f t="shared" si="23"/>
        <v>4.4963916666666668</v>
      </c>
      <c r="D1061" s="60">
        <f t="shared" si="23"/>
        <v>4.5230499999999996</v>
      </c>
      <c r="E1061" s="60">
        <f t="shared" si="23"/>
        <v>4.9185083333333326</v>
      </c>
      <c r="F1061" s="60">
        <f t="shared" si="23"/>
        <v>4.9185083333333326</v>
      </c>
      <c r="G1061" s="60">
        <f t="shared" si="23"/>
        <v>4.919575</v>
      </c>
      <c r="H1061" s="60">
        <f t="shared" si="23"/>
        <v>9.2702500000000008</v>
      </c>
      <c r="I1061" s="60">
        <f t="shared" si="23"/>
        <v>9.2713249999999992</v>
      </c>
      <c r="J1061" s="60">
        <f t="shared" si="23"/>
        <v>4.9185083333333326</v>
      </c>
      <c r="K1061" s="60">
        <f t="shared" si="23"/>
        <v>4.919575</v>
      </c>
    </row>
    <row r="1062" spans="1:11" ht="15">
      <c r="A1062" s="3">
        <v>2040</v>
      </c>
      <c r="B1062" s="60">
        <f t="shared" ref="B1062:K1062" si="24">AVERAGE(B305:B316)</f>
        <v>4.6104833333333328</v>
      </c>
      <c r="C1062" s="60">
        <f t="shared" si="24"/>
        <v>4.6104833333333328</v>
      </c>
      <c r="D1062" s="60">
        <f t="shared" si="24"/>
        <v>4.6371166666666666</v>
      </c>
      <c r="E1062" s="60">
        <f t="shared" si="24"/>
        <v>5.0565249999999997</v>
      </c>
      <c r="F1062" s="60">
        <f t="shared" si="24"/>
        <v>5.0565249999999997</v>
      </c>
      <c r="G1062" s="60">
        <f t="shared" si="24"/>
        <v>5.0575916666666663</v>
      </c>
      <c r="H1062" s="60">
        <f t="shared" si="24"/>
        <v>9.5046916666666679</v>
      </c>
      <c r="I1062" s="60">
        <f t="shared" si="24"/>
        <v>9.5057333333333336</v>
      </c>
      <c r="J1062" s="60">
        <f t="shared" si="24"/>
        <v>5.0565249999999997</v>
      </c>
      <c r="K1062" s="60">
        <f t="shared" si="24"/>
        <v>5.0575916666666663</v>
      </c>
    </row>
    <row r="1063" spans="1:11" ht="15">
      <c r="A1063" s="3">
        <v>2041</v>
      </c>
      <c r="B1063" s="60">
        <f t="shared" ref="B1063:K1063" si="25">AVERAGE(B317:B328)</f>
        <v>4.727475000000001</v>
      </c>
      <c r="C1063" s="60">
        <f t="shared" si="25"/>
        <v>4.727475000000001</v>
      </c>
      <c r="D1063" s="60">
        <f t="shared" si="25"/>
        <v>4.7541083333333338</v>
      </c>
      <c r="E1063" s="60">
        <f t="shared" si="25"/>
        <v>5.1984249999999994</v>
      </c>
      <c r="F1063" s="60">
        <f t="shared" si="25"/>
        <v>5.1984249999999994</v>
      </c>
      <c r="G1063" s="60">
        <f t="shared" si="25"/>
        <v>5.1994833333333332</v>
      </c>
      <c r="H1063" s="60">
        <f t="shared" si="25"/>
        <v>9.7450499999999991</v>
      </c>
      <c r="I1063" s="60">
        <f t="shared" si="25"/>
        <v>9.7461166666666674</v>
      </c>
      <c r="J1063" s="60">
        <f t="shared" si="25"/>
        <v>5.1984249999999994</v>
      </c>
      <c r="K1063" s="60">
        <f t="shared" si="25"/>
        <v>5.1994833333333332</v>
      </c>
    </row>
    <row r="1064" spans="1:11" ht="15">
      <c r="A1064" s="3">
        <v>2042</v>
      </c>
      <c r="B1064" s="60">
        <f t="shared" ref="B1064:K1064" si="26">AVERAGE(B329:B340)</f>
        <v>4.8474083333333331</v>
      </c>
      <c r="C1064" s="60">
        <f t="shared" si="26"/>
        <v>4.8474083333333331</v>
      </c>
      <c r="D1064" s="60">
        <f t="shared" si="26"/>
        <v>4.8740499999999995</v>
      </c>
      <c r="E1064" s="60">
        <f t="shared" si="26"/>
        <v>5.3443250000000004</v>
      </c>
      <c r="F1064" s="60">
        <f t="shared" si="26"/>
        <v>5.3443250000000004</v>
      </c>
      <c r="G1064" s="60">
        <f t="shared" si="26"/>
        <v>5.345391666666667</v>
      </c>
      <c r="H1064" s="60">
        <f t="shared" si="26"/>
        <v>9.9914750000000012</v>
      </c>
      <c r="I1064" s="60">
        <f t="shared" si="26"/>
        <v>9.9925416666666678</v>
      </c>
      <c r="J1064" s="60">
        <f t="shared" si="26"/>
        <v>5.3443250000000004</v>
      </c>
      <c r="K1064" s="60">
        <f t="shared" si="26"/>
        <v>5.345391666666667</v>
      </c>
    </row>
    <row r="1065" spans="1:11" ht="15">
      <c r="A1065" s="3">
        <v>2043</v>
      </c>
      <c r="B1065" s="60">
        <f t="shared" ref="B1065:K1065" si="27">AVERAGE(B341:B352)</f>
        <v>4.9704083333333342</v>
      </c>
      <c r="C1065" s="60">
        <f t="shared" si="27"/>
        <v>4.9704083333333342</v>
      </c>
      <c r="D1065" s="60">
        <f t="shared" si="27"/>
        <v>4.9970499999999998</v>
      </c>
      <c r="E1065" s="60">
        <f t="shared" si="27"/>
        <v>5.4943166666666663</v>
      </c>
      <c r="F1065" s="60">
        <f t="shared" si="27"/>
        <v>5.4943166666666663</v>
      </c>
      <c r="G1065" s="60">
        <f t="shared" si="27"/>
        <v>5.4953916666666673</v>
      </c>
      <c r="H1065" s="60">
        <f t="shared" si="27"/>
        <v>10.244141666666668</v>
      </c>
      <c r="I1065" s="60">
        <f t="shared" si="27"/>
        <v>10.245216666666666</v>
      </c>
      <c r="J1065" s="60">
        <f t="shared" si="27"/>
        <v>5.4943166666666663</v>
      </c>
      <c r="K1065" s="60">
        <f t="shared" si="27"/>
        <v>5.4953916666666673</v>
      </c>
    </row>
    <row r="1066" spans="1:11" ht="15">
      <c r="A1066" s="3">
        <v>2044</v>
      </c>
      <c r="B1066" s="60">
        <f t="shared" ref="B1066:K1066" si="28">AVERAGE(B353:B364)</f>
        <v>5.0965250000000006</v>
      </c>
      <c r="C1066" s="60">
        <f t="shared" si="28"/>
        <v>5.0965250000000006</v>
      </c>
      <c r="D1066" s="60">
        <f t="shared" si="28"/>
        <v>5.1231833333333334</v>
      </c>
      <c r="E1066" s="60">
        <f t="shared" si="28"/>
        <v>5.6485583333333338</v>
      </c>
      <c r="F1066" s="60">
        <f t="shared" si="28"/>
        <v>5.6485583333333338</v>
      </c>
      <c r="G1066" s="60">
        <f t="shared" si="28"/>
        <v>5.6496250000000003</v>
      </c>
      <c r="H1066" s="60">
        <f t="shared" si="28"/>
        <v>10.5032</v>
      </c>
      <c r="I1066" s="60">
        <f t="shared" si="28"/>
        <v>10.504266666666668</v>
      </c>
      <c r="J1066" s="60">
        <f t="shared" si="28"/>
        <v>5.6485583333333338</v>
      </c>
      <c r="K1066" s="60">
        <f t="shared" si="28"/>
        <v>5.6496250000000003</v>
      </c>
    </row>
    <row r="1067" spans="1:11" ht="15">
      <c r="A1067" s="3">
        <v>2045</v>
      </c>
      <c r="B1067" s="60">
        <f t="shared" ref="B1067:K1067" si="29">AVERAGE(B365:B376)</f>
        <v>5.2258749999999994</v>
      </c>
      <c r="C1067" s="60">
        <f t="shared" si="29"/>
        <v>5.2258749999999994</v>
      </c>
      <c r="D1067" s="60">
        <f t="shared" si="29"/>
        <v>5.2525249999999994</v>
      </c>
      <c r="E1067" s="60">
        <f t="shared" si="29"/>
        <v>5.8071166666666683</v>
      </c>
      <c r="F1067" s="60">
        <f t="shared" si="29"/>
        <v>5.8071166666666683</v>
      </c>
      <c r="G1067" s="60">
        <f t="shared" si="29"/>
        <v>5.8081916666666666</v>
      </c>
      <c r="H1067" s="60">
        <f t="shared" si="29"/>
        <v>10.768833333333333</v>
      </c>
      <c r="I1067" s="60">
        <f t="shared" si="29"/>
        <v>10.769883333333333</v>
      </c>
      <c r="J1067" s="60">
        <f t="shared" si="29"/>
        <v>5.8071166666666683</v>
      </c>
      <c r="K1067" s="60">
        <f t="shared" si="29"/>
        <v>5.8081916666666666</v>
      </c>
    </row>
    <row r="1068" spans="1:11" ht="15">
      <c r="A1068" s="3">
        <v>2046</v>
      </c>
      <c r="B1068" s="60">
        <f t="shared" ref="B1068:K1068" si="30">AVERAGE(B377:B388)</f>
        <v>5.3584916666666667</v>
      </c>
      <c r="C1068" s="60">
        <f t="shared" si="30"/>
        <v>5.3584916666666667</v>
      </c>
      <c r="D1068" s="60">
        <f t="shared" si="30"/>
        <v>5.3851416666666667</v>
      </c>
      <c r="E1068" s="60">
        <f t="shared" si="30"/>
        <v>5.9701666666666666</v>
      </c>
      <c r="F1068" s="60">
        <f t="shared" si="30"/>
        <v>5.9701666666666666</v>
      </c>
      <c r="G1068" s="60">
        <f t="shared" si="30"/>
        <v>5.971241666666665</v>
      </c>
      <c r="H1068" s="60">
        <f t="shared" si="30"/>
        <v>11.04115</v>
      </c>
      <c r="I1068" s="60">
        <f t="shared" si="30"/>
        <v>11.042216666666668</v>
      </c>
      <c r="J1068" s="60">
        <f t="shared" si="30"/>
        <v>5.9701666666666666</v>
      </c>
      <c r="K1068" s="60">
        <f t="shared" si="30"/>
        <v>5.971241666666665</v>
      </c>
    </row>
    <row r="1069" spans="1:11" ht="15">
      <c r="A1069" s="3">
        <v>2047</v>
      </c>
      <c r="B1069" s="60">
        <f t="shared" ref="B1069:K1069" si="31">AVERAGE(B389:B400)</f>
        <v>5.4945083333333331</v>
      </c>
      <c r="C1069" s="60">
        <f t="shared" si="31"/>
        <v>5.4945083333333331</v>
      </c>
      <c r="D1069" s="60">
        <f t="shared" si="31"/>
        <v>5.5211499999999996</v>
      </c>
      <c r="E1069" s="60">
        <f t="shared" si="31"/>
        <v>6.1377999999999995</v>
      </c>
      <c r="F1069" s="60">
        <f t="shared" si="31"/>
        <v>6.1377999999999995</v>
      </c>
      <c r="G1069" s="60">
        <f t="shared" si="31"/>
        <v>6.1388583333333342</v>
      </c>
      <c r="H1069" s="60">
        <f t="shared" si="31"/>
        <v>11.320358333333333</v>
      </c>
      <c r="I1069" s="60">
        <f t="shared" si="31"/>
        <v>11.321433333333333</v>
      </c>
      <c r="J1069" s="60">
        <f t="shared" si="31"/>
        <v>6.1377999999999995</v>
      </c>
      <c r="K1069" s="60">
        <f t="shared" si="31"/>
        <v>6.1388583333333342</v>
      </c>
    </row>
    <row r="1070" spans="1:11" ht="15">
      <c r="A1070" s="3">
        <v>2048</v>
      </c>
      <c r="B1070" s="60">
        <f t="shared" ref="B1070:K1070" si="32">AVERAGE(B401:B412)</f>
        <v>5.6339333333333341</v>
      </c>
      <c r="C1070" s="60">
        <f t="shared" si="32"/>
        <v>5.6339333333333341</v>
      </c>
      <c r="D1070" s="60">
        <f t="shared" si="32"/>
        <v>5.6605749999999988</v>
      </c>
      <c r="E1070" s="60">
        <f t="shared" si="32"/>
        <v>6.3101416666666674</v>
      </c>
      <c r="F1070" s="60">
        <f t="shared" si="32"/>
        <v>6.3101416666666674</v>
      </c>
      <c r="G1070" s="60">
        <f t="shared" si="32"/>
        <v>6.3111999999999995</v>
      </c>
      <c r="H1070" s="60">
        <f t="shared" si="32"/>
        <v>11.606624999999999</v>
      </c>
      <c r="I1070" s="60">
        <f t="shared" si="32"/>
        <v>11.607700000000001</v>
      </c>
      <c r="J1070" s="60">
        <f t="shared" si="32"/>
        <v>6.3101416666666674</v>
      </c>
      <c r="K1070" s="60">
        <f t="shared" si="32"/>
        <v>6.3111999999999995</v>
      </c>
    </row>
    <row r="1071" spans="1:11" ht="15">
      <c r="A1071" s="3">
        <v>2049</v>
      </c>
      <c r="B1071" s="60">
        <f t="shared" ref="B1071:K1071" si="33">AVERAGE(B413:B424)</f>
        <v>5.7769416666666666</v>
      </c>
      <c r="C1071" s="60">
        <f t="shared" si="33"/>
        <v>5.7769416666666666</v>
      </c>
      <c r="D1071" s="60">
        <f t="shared" si="33"/>
        <v>5.8035833333333331</v>
      </c>
      <c r="E1071" s="60">
        <f t="shared" si="33"/>
        <v>6.487333333333333</v>
      </c>
      <c r="F1071" s="60">
        <f t="shared" si="33"/>
        <v>6.487333333333333</v>
      </c>
      <c r="G1071" s="60">
        <f t="shared" si="33"/>
        <v>6.4884083333333322</v>
      </c>
      <c r="H1071" s="60">
        <f t="shared" si="33"/>
        <v>11.900133333333335</v>
      </c>
      <c r="I1071" s="60">
        <f t="shared" si="33"/>
        <v>11.901225000000002</v>
      </c>
      <c r="J1071" s="60">
        <f t="shared" si="33"/>
        <v>6.487333333333333</v>
      </c>
      <c r="K1071" s="60">
        <f t="shared" si="33"/>
        <v>6.4884083333333322</v>
      </c>
    </row>
    <row r="1072" spans="1:11" ht="15">
      <c r="A1072" s="3">
        <v>2050</v>
      </c>
      <c r="B1072" s="60">
        <f t="shared" ref="B1072:K1072" si="34">AVERAGE(B425:B436)</f>
        <v>5.923566666666666</v>
      </c>
      <c r="C1072" s="60">
        <f t="shared" si="34"/>
        <v>5.923566666666666</v>
      </c>
      <c r="D1072" s="60">
        <f t="shared" si="34"/>
        <v>5.9502249999999988</v>
      </c>
      <c r="E1072" s="60">
        <f t="shared" si="34"/>
        <v>6.6695499999999983</v>
      </c>
      <c r="F1072" s="60">
        <f t="shared" si="34"/>
        <v>6.6695499999999983</v>
      </c>
      <c r="G1072" s="60">
        <f t="shared" si="34"/>
        <v>6.6706166666666666</v>
      </c>
      <c r="H1072" s="60">
        <f t="shared" si="34"/>
        <v>12.201083333333335</v>
      </c>
      <c r="I1072" s="60">
        <f t="shared" si="34"/>
        <v>12.202141666666668</v>
      </c>
      <c r="J1072" s="60">
        <f t="shared" si="34"/>
        <v>6.6695499999999983</v>
      </c>
      <c r="K1072" s="60">
        <f t="shared" si="34"/>
        <v>6.6706166666666666</v>
      </c>
    </row>
    <row r="1073" spans="1:11" ht="15">
      <c r="A1073" s="3">
        <v>2051</v>
      </c>
      <c r="B1073" s="60">
        <f t="shared" ref="B1073:K1073" si="35">AVERAGE(B437:B448)</f>
        <v>6.0739333333333336</v>
      </c>
      <c r="C1073" s="60">
        <f t="shared" si="35"/>
        <v>6.0739333333333336</v>
      </c>
      <c r="D1073" s="60">
        <f t="shared" si="35"/>
        <v>6.1005833333333337</v>
      </c>
      <c r="E1073" s="60">
        <f t="shared" si="35"/>
        <v>6.8568833333333332</v>
      </c>
      <c r="F1073" s="60">
        <f t="shared" si="35"/>
        <v>6.8568833333333332</v>
      </c>
      <c r="G1073" s="60">
        <f t="shared" si="35"/>
        <v>6.8579333333333325</v>
      </c>
      <c r="H1073" s="60">
        <f t="shared" si="35"/>
        <v>12.509625000000002</v>
      </c>
      <c r="I1073" s="60">
        <f t="shared" si="35"/>
        <v>12.510691666666666</v>
      </c>
      <c r="J1073" s="60">
        <f t="shared" si="35"/>
        <v>6.8568833333333332</v>
      </c>
      <c r="K1073" s="60">
        <f t="shared" si="35"/>
        <v>6.8579333333333325</v>
      </c>
    </row>
    <row r="1074" spans="1:11" ht="15">
      <c r="A1074" s="3">
        <v>2052</v>
      </c>
      <c r="B1074" s="60">
        <f t="shared" ref="B1074:K1074" si="36">AVERAGE(B449:B460)</f>
        <v>6.2281083333333322</v>
      </c>
      <c r="C1074" s="60">
        <f t="shared" si="36"/>
        <v>6.2281083333333322</v>
      </c>
      <c r="D1074" s="60">
        <f t="shared" si="36"/>
        <v>6.2547666666666677</v>
      </c>
      <c r="E1074" s="60">
        <f t="shared" si="36"/>
        <v>7.049475000000001</v>
      </c>
      <c r="F1074" s="60">
        <f t="shared" si="36"/>
        <v>7.049475000000001</v>
      </c>
      <c r="G1074" s="60">
        <f t="shared" si="36"/>
        <v>7.0505416666666667</v>
      </c>
      <c r="H1074" s="60">
        <f t="shared" si="36"/>
        <v>12.825983333333333</v>
      </c>
      <c r="I1074" s="60">
        <f t="shared" si="36"/>
        <v>12.827058333333335</v>
      </c>
      <c r="J1074" s="60">
        <f t="shared" si="36"/>
        <v>7.049475000000001</v>
      </c>
      <c r="K1074" s="60">
        <f t="shared" si="36"/>
        <v>7.0505416666666667</v>
      </c>
    </row>
    <row r="1075" spans="1:11" ht="15">
      <c r="A1075" s="3">
        <v>2053</v>
      </c>
      <c r="B1075" s="60">
        <f t="shared" ref="B1075:K1075" si="37">AVERAGE(B461:B472)</f>
        <v>6.386216666666666</v>
      </c>
      <c r="C1075" s="60">
        <f t="shared" si="37"/>
        <v>6.386216666666666</v>
      </c>
      <c r="D1075" s="60">
        <f t="shared" si="37"/>
        <v>6.4128583333333351</v>
      </c>
      <c r="E1075" s="60">
        <f t="shared" si="37"/>
        <v>7.2475249999999996</v>
      </c>
      <c r="F1075" s="60">
        <f t="shared" si="37"/>
        <v>7.2475249999999996</v>
      </c>
      <c r="G1075" s="60">
        <f t="shared" si="37"/>
        <v>7.2485750000000015</v>
      </c>
      <c r="H1075" s="60">
        <f t="shared" si="37"/>
        <v>13.150316666666667</v>
      </c>
      <c r="I1075" s="60">
        <f t="shared" si="37"/>
        <v>13.151383333333333</v>
      </c>
      <c r="J1075" s="60">
        <f t="shared" si="37"/>
        <v>7.2475249999999996</v>
      </c>
      <c r="K1075" s="60">
        <f t="shared" si="37"/>
        <v>7.2485750000000015</v>
      </c>
    </row>
    <row r="1076" spans="1:11" ht="15">
      <c r="A1076" s="3">
        <v>2054</v>
      </c>
      <c r="B1076" s="60">
        <f t="shared" ref="B1076:K1076" si="38">AVERAGE(B473:B484)</f>
        <v>6.5483416666666656</v>
      </c>
      <c r="C1076" s="60">
        <f t="shared" si="38"/>
        <v>6.5483416666666656</v>
      </c>
      <c r="D1076" s="60">
        <f t="shared" si="38"/>
        <v>6.5749833333333321</v>
      </c>
      <c r="E1076" s="60">
        <f t="shared" si="38"/>
        <v>7.4511333333333338</v>
      </c>
      <c r="F1076" s="60">
        <f t="shared" si="38"/>
        <v>7.4511333333333338</v>
      </c>
      <c r="G1076" s="60">
        <f t="shared" si="38"/>
        <v>7.4521916666666668</v>
      </c>
      <c r="H1076" s="60">
        <f t="shared" si="38"/>
        <v>13.482891666666665</v>
      </c>
      <c r="I1076" s="60">
        <f t="shared" si="38"/>
        <v>13.48395</v>
      </c>
      <c r="J1076" s="60">
        <f t="shared" si="38"/>
        <v>7.4511333333333338</v>
      </c>
      <c r="K1076" s="60">
        <f t="shared" si="38"/>
        <v>7.4521916666666668</v>
      </c>
    </row>
    <row r="1077" spans="1:11" ht="15">
      <c r="A1077" s="3">
        <v>2055</v>
      </c>
      <c r="B1077" s="60">
        <f t="shared" ref="B1077:K1077" si="39">AVERAGE(B17:B496)</f>
        <v>4.2844087499999954</v>
      </c>
      <c r="C1077" s="60">
        <f t="shared" si="39"/>
        <v>4.2844087499999954</v>
      </c>
      <c r="D1077" s="60">
        <f t="shared" si="39"/>
        <v>4.3110585416666671</v>
      </c>
      <c r="E1077" s="60">
        <f t="shared" si="39"/>
        <v>4.7119027083333327</v>
      </c>
      <c r="F1077" s="60">
        <f t="shared" si="39"/>
        <v>4.6534241666666665</v>
      </c>
      <c r="G1077" s="60">
        <f t="shared" si="39"/>
        <v>4.6544885416666641</v>
      </c>
      <c r="H1077" s="60">
        <f t="shared" si="39"/>
        <v>8.8517497916666734</v>
      </c>
      <c r="I1077" s="60">
        <f t="shared" si="39"/>
        <v>8.8528170833333313</v>
      </c>
      <c r="J1077" s="60">
        <f t="shared" si="39"/>
        <v>4.7119027083333327</v>
      </c>
      <c r="K1077" s="60">
        <f t="shared" si="39"/>
        <v>4.7129668749999967</v>
      </c>
    </row>
    <row r="1078" spans="1:11" ht="15">
      <c r="A1078" s="3">
        <v>2056</v>
      </c>
      <c r="B1078" s="60">
        <f t="shared" ref="B1078:K1078" si="40">AVERAGE(B497:B508)</f>
        <v>6.8850749999999996</v>
      </c>
      <c r="C1078" s="60">
        <f t="shared" si="40"/>
        <v>6.8850749999999996</v>
      </c>
      <c r="D1078" s="60">
        <f t="shared" si="40"/>
        <v>6.9117166666666661</v>
      </c>
      <c r="E1078" s="60">
        <f t="shared" si="40"/>
        <v>7.8757666666666664</v>
      </c>
      <c r="F1078" s="60">
        <f t="shared" si="40"/>
        <v>7.8757666666666664</v>
      </c>
      <c r="G1078" s="60">
        <f t="shared" si="40"/>
        <v>7.8768166666666666</v>
      </c>
      <c r="H1078" s="60">
        <f t="shared" si="40"/>
        <v>14.173424999999996</v>
      </c>
      <c r="I1078" s="60">
        <f t="shared" si="40"/>
        <v>14.174483333333335</v>
      </c>
      <c r="J1078" s="60">
        <f t="shared" si="40"/>
        <v>7.8757666666666664</v>
      </c>
      <c r="K1078" s="60">
        <f t="shared" si="40"/>
        <v>7.8768166666666666</v>
      </c>
    </row>
    <row r="1079" spans="1:11" ht="15">
      <c r="A1079" s="3">
        <v>2057</v>
      </c>
      <c r="B1079" s="60">
        <f t="shared" ref="B1079:K1079" si="41">AVERAGE(B509:B520)</f>
        <v>7.0598833333333326</v>
      </c>
      <c r="C1079" s="60">
        <f t="shared" si="41"/>
        <v>7.0598833333333326</v>
      </c>
      <c r="D1079" s="60">
        <f t="shared" si="41"/>
        <v>7.0865333333333327</v>
      </c>
      <c r="E1079" s="60">
        <f t="shared" si="41"/>
        <v>8.0970833333333321</v>
      </c>
      <c r="F1079" s="60">
        <f t="shared" si="41"/>
        <v>8.0970833333333321</v>
      </c>
      <c r="G1079" s="60">
        <f t="shared" si="41"/>
        <v>8.0981499999999986</v>
      </c>
      <c r="H1079" s="60">
        <f t="shared" si="41"/>
        <v>14.531858333333334</v>
      </c>
      <c r="I1079" s="60">
        <f t="shared" si="41"/>
        <v>14.532916666666667</v>
      </c>
      <c r="J1079" s="60">
        <f t="shared" si="41"/>
        <v>8.0970833333333321</v>
      </c>
      <c r="K1079" s="60">
        <f t="shared" si="41"/>
        <v>8.0981499999999986</v>
      </c>
    </row>
    <row r="1080" spans="1:11" ht="15">
      <c r="A1080" s="3">
        <v>2058</v>
      </c>
      <c r="B1080" s="60">
        <f t="shared" ref="B1080:K1080" si="42">AVERAGE(B521:B532)</f>
        <v>7.239141666666665</v>
      </c>
      <c r="C1080" s="60">
        <f t="shared" si="42"/>
        <v>7.239141666666665</v>
      </c>
      <c r="D1080" s="60">
        <f t="shared" si="42"/>
        <v>7.2657833333333341</v>
      </c>
      <c r="E1080" s="60">
        <f t="shared" si="42"/>
        <v>8.3246583333333337</v>
      </c>
      <c r="F1080" s="60">
        <f t="shared" si="42"/>
        <v>8.3246583333333337</v>
      </c>
      <c r="G1080" s="60">
        <f t="shared" si="42"/>
        <v>8.325708333333333</v>
      </c>
      <c r="H1080" s="60">
        <f t="shared" si="42"/>
        <v>14.899341666666666</v>
      </c>
      <c r="I1080" s="60">
        <f t="shared" si="42"/>
        <v>14.900391666666669</v>
      </c>
      <c r="J1080" s="60">
        <f t="shared" si="42"/>
        <v>8.3246583333333337</v>
      </c>
      <c r="K1080" s="60">
        <f t="shared" si="42"/>
        <v>8.325708333333333</v>
      </c>
    </row>
    <row r="1081" spans="1:11" ht="15">
      <c r="A1081" s="3">
        <v>2059</v>
      </c>
      <c r="B1081" s="60">
        <f t="shared" ref="B1081:K1081" si="43">AVERAGE(B533:B544)</f>
        <v>7.4229666666666665</v>
      </c>
      <c r="C1081" s="60">
        <f t="shared" si="43"/>
        <v>7.4229666666666665</v>
      </c>
      <c r="D1081" s="60">
        <f t="shared" si="43"/>
        <v>7.4496083333333338</v>
      </c>
      <c r="E1081" s="60">
        <f t="shared" si="43"/>
        <v>8.5586166666666657</v>
      </c>
      <c r="F1081" s="60">
        <f t="shared" si="43"/>
        <v>8.5586166666666657</v>
      </c>
      <c r="G1081" s="60">
        <f t="shared" si="43"/>
        <v>8.5597000000000012</v>
      </c>
      <c r="H1081" s="60">
        <f t="shared" si="43"/>
        <v>15.276116666666667</v>
      </c>
      <c r="I1081" s="60">
        <f t="shared" si="43"/>
        <v>15.277166666666666</v>
      </c>
      <c r="J1081" s="60">
        <f t="shared" si="43"/>
        <v>8.5586166666666657</v>
      </c>
      <c r="K1081" s="60">
        <f t="shared" si="43"/>
        <v>8.5597000000000012</v>
      </c>
    </row>
    <row r="1082" spans="1:11" ht="15">
      <c r="A1082" s="3">
        <v>2060</v>
      </c>
      <c r="B1082" s="60">
        <f t="shared" ref="B1082:K1082" si="44">AVERAGE(B545:B556)</f>
        <v>7.611433333333335</v>
      </c>
      <c r="C1082" s="60">
        <f t="shared" si="44"/>
        <v>7.611433333333335</v>
      </c>
      <c r="D1082" s="60">
        <f t="shared" si="44"/>
        <v>7.6380833333333342</v>
      </c>
      <c r="E1082" s="60">
        <f t="shared" si="44"/>
        <v>8.7992083333333344</v>
      </c>
      <c r="F1082" s="60">
        <f t="shared" si="44"/>
        <v>8.7992083333333344</v>
      </c>
      <c r="G1082" s="60">
        <f t="shared" si="44"/>
        <v>8.8002749999999974</v>
      </c>
      <c r="H1082" s="60">
        <f t="shared" si="44"/>
        <v>15.662416666666667</v>
      </c>
      <c r="I1082" s="60">
        <f t="shared" si="44"/>
        <v>15.663475</v>
      </c>
      <c r="J1082" s="60">
        <f t="shared" si="44"/>
        <v>8.7992083333333344</v>
      </c>
      <c r="K1082" s="60">
        <f t="shared" si="44"/>
        <v>8.8002749999999974</v>
      </c>
    </row>
    <row r="1083" spans="1:11" ht="15">
      <c r="A1083" s="3">
        <v>2061</v>
      </c>
      <c r="B1083" s="60">
        <f t="shared" ref="B1083:K1083" si="45">AVERAGE(B557:B568)</f>
        <v>7.804733333333334</v>
      </c>
      <c r="C1083" s="60">
        <f t="shared" si="45"/>
        <v>7.804733333333334</v>
      </c>
      <c r="D1083" s="60">
        <f t="shared" si="45"/>
        <v>7.8313916666666676</v>
      </c>
      <c r="E1083" s="60">
        <f t="shared" si="45"/>
        <v>9.0465833333333325</v>
      </c>
      <c r="F1083" s="60">
        <f t="shared" si="45"/>
        <v>9.0465833333333325</v>
      </c>
      <c r="G1083" s="60">
        <f t="shared" si="45"/>
        <v>9.0476583333333327</v>
      </c>
      <c r="H1083" s="60">
        <f t="shared" si="45"/>
        <v>16.058508333333332</v>
      </c>
      <c r="I1083" s="60">
        <f t="shared" si="45"/>
        <v>16.059574999999999</v>
      </c>
      <c r="J1083" s="60">
        <f t="shared" si="45"/>
        <v>9.0465833333333325</v>
      </c>
      <c r="K1083" s="60">
        <f t="shared" si="45"/>
        <v>9.0476583333333327</v>
      </c>
    </row>
    <row r="1084" spans="1:11" ht="15">
      <c r="A1084" s="3">
        <v>2062</v>
      </c>
      <c r="B1084" s="60">
        <f t="shared" ref="B1084:K1093" ca="1" si="46">AVERAGE(OFFSET(B$569,($A1084-$A$1084)*12,0,12,1))</f>
        <v>8.002933333333333</v>
      </c>
      <c r="C1084" s="60">
        <f t="shared" ca="1" si="46"/>
        <v>8.002933333333333</v>
      </c>
      <c r="D1084" s="60">
        <f t="shared" ca="1" si="46"/>
        <v>8.0295833333333313</v>
      </c>
      <c r="E1084" s="60">
        <f t="shared" ca="1" si="46"/>
        <v>9.3009249999999994</v>
      </c>
      <c r="F1084" s="60">
        <f t="shared" ca="1" si="46"/>
        <v>9.3009249999999994</v>
      </c>
      <c r="G1084" s="60">
        <f t="shared" ca="1" si="46"/>
        <v>9.302008333333335</v>
      </c>
      <c r="H1084" s="60">
        <f t="shared" ca="1" si="46"/>
        <v>16.464608333333334</v>
      </c>
      <c r="I1084" s="60">
        <f t="shared" ca="1" si="46"/>
        <v>16.465683333333335</v>
      </c>
      <c r="J1084" s="60">
        <f t="shared" ca="1" si="46"/>
        <v>9.3009249999999994</v>
      </c>
      <c r="K1084" s="60">
        <f t="shared" ca="1" si="46"/>
        <v>9.302008333333335</v>
      </c>
    </row>
    <row r="1085" spans="1:11" ht="15">
      <c r="A1085" s="3">
        <v>2063</v>
      </c>
      <c r="B1085" s="60">
        <f t="shared" ca="1" si="46"/>
        <v>8.2061833333333336</v>
      </c>
      <c r="C1085" s="60">
        <f t="shared" ca="1" si="46"/>
        <v>8.2061833333333336</v>
      </c>
      <c r="D1085" s="60">
        <f t="shared" ca="1" si="46"/>
        <v>8.2328333333333319</v>
      </c>
      <c r="E1085" s="60">
        <f t="shared" ca="1" si="46"/>
        <v>9.5624500000000001</v>
      </c>
      <c r="F1085" s="60">
        <f t="shared" ca="1" si="46"/>
        <v>9.5624500000000001</v>
      </c>
      <c r="G1085" s="60">
        <f t="shared" ca="1" si="46"/>
        <v>9.5635250000000003</v>
      </c>
      <c r="H1085" s="60">
        <f t="shared" ca="1" si="46"/>
        <v>16.870699999999999</v>
      </c>
      <c r="I1085" s="60">
        <f t="shared" ca="1" si="46"/>
        <v>16.871758333333332</v>
      </c>
      <c r="J1085" s="60">
        <f t="shared" ca="1" si="46"/>
        <v>9.5553000000000008</v>
      </c>
      <c r="K1085" s="60">
        <f t="shared" ca="1" si="46"/>
        <v>9.5635250000000003</v>
      </c>
    </row>
    <row r="1086" spans="1:11" ht="15">
      <c r="A1086" s="3">
        <v>2064</v>
      </c>
      <c r="B1086" s="60">
        <f t="shared" ca="1" si="46"/>
        <v>8.4146000000000019</v>
      </c>
      <c r="C1086" s="60">
        <f t="shared" ca="1" si="46"/>
        <v>8.4146000000000019</v>
      </c>
      <c r="D1086" s="60">
        <f t="shared" ca="1" si="46"/>
        <v>8.4412583333333338</v>
      </c>
      <c r="E1086" s="60">
        <f t="shared" ca="1" si="46"/>
        <v>9.8313583333333341</v>
      </c>
      <c r="F1086" s="60">
        <f t="shared" ca="1" si="46"/>
        <v>9.8313583333333341</v>
      </c>
      <c r="G1086" s="60">
        <f t="shared" ca="1" si="46"/>
        <v>9.8324250000000006</v>
      </c>
      <c r="H1086" s="60">
        <f t="shared" ca="1" si="46"/>
        <v>17.276791666666664</v>
      </c>
      <c r="I1086" s="60">
        <f t="shared" ca="1" si="46"/>
        <v>17.277858333333334</v>
      </c>
      <c r="J1086" s="60">
        <f t="shared" ca="1" si="46"/>
        <v>9.8096166666666686</v>
      </c>
      <c r="K1086" s="60">
        <f t="shared" ca="1" si="46"/>
        <v>9.8324250000000006</v>
      </c>
    </row>
    <row r="1087" spans="1:11" ht="15">
      <c r="A1087" s="3">
        <v>2065</v>
      </c>
      <c r="B1087" s="60">
        <f t="shared" ca="1" si="46"/>
        <v>8.628325000000002</v>
      </c>
      <c r="C1087" s="60">
        <f t="shared" ca="1" si="46"/>
        <v>8.628325000000002</v>
      </c>
      <c r="D1087" s="60">
        <f t="shared" ca="1" si="46"/>
        <v>8.6549666666666685</v>
      </c>
      <c r="E1087" s="60">
        <f t="shared" ca="1" si="46"/>
        <v>10.107858333333334</v>
      </c>
      <c r="F1087" s="60">
        <f t="shared" ca="1" si="46"/>
        <v>10.107858333333334</v>
      </c>
      <c r="G1087" s="60">
        <f t="shared" ca="1" si="46"/>
        <v>10.1089</v>
      </c>
      <c r="H1087" s="60">
        <f t="shared" ca="1" si="46"/>
        <v>17.682883333333333</v>
      </c>
      <c r="I1087" s="60">
        <f t="shared" ca="1" si="46"/>
        <v>17.683966666666667</v>
      </c>
      <c r="J1087" s="60">
        <f t="shared" ca="1" si="46"/>
        <v>10.063975000000001</v>
      </c>
      <c r="K1087" s="60">
        <f t="shared" ca="1" si="46"/>
        <v>10.1089</v>
      </c>
    </row>
    <row r="1088" spans="1:11" ht="15">
      <c r="A1088" s="3">
        <v>2066</v>
      </c>
      <c r="B1088" s="60">
        <f t="shared" ca="1" si="46"/>
        <v>8.842033333333335</v>
      </c>
      <c r="C1088" s="60">
        <f t="shared" ca="1" si="46"/>
        <v>8.842033333333335</v>
      </c>
      <c r="D1088" s="60">
        <f t="shared" ca="1" si="46"/>
        <v>8.8686750000000014</v>
      </c>
      <c r="E1088" s="60">
        <f t="shared" ca="1" si="46"/>
        <v>10.384333333333332</v>
      </c>
      <c r="F1088" s="60">
        <f t="shared" ca="1" si="46"/>
        <v>10.384333333333332</v>
      </c>
      <c r="G1088" s="60">
        <f t="shared" ca="1" si="46"/>
        <v>10.385391666666669</v>
      </c>
      <c r="H1088" s="60">
        <f t="shared" ca="1" si="46"/>
        <v>18.088966666666664</v>
      </c>
      <c r="I1088" s="60">
        <f t="shared" ca="1" si="46"/>
        <v>18.090041666666668</v>
      </c>
      <c r="J1088" s="60">
        <f t="shared" ca="1" si="46"/>
        <v>10.318325</v>
      </c>
      <c r="K1088" s="60">
        <f t="shared" ca="1" si="46"/>
        <v>10.385391666666669</v>
      </c>
    </row>
    <row r="1089" spans="1:11" ht="15">
      <c r="A1089" s="3">
        <v>2067</v>
      </c>
      <c r="B1089" s="60">
        <f t="shared" ca="1" si="46"/>
        <v>9.0557416666666679</v>
      </c>
      <c r="C1089" s="60">
        <f t="shared" ca="1" si="46"/>
        <v>9.0557416666666679</v>
      </c>
      <c r="D1089" s="60">
        <f t="shared" ca="1" si="46"/>
        <v>9.0824000000000016</v>
      </c>
      <c r="E1089" s="60">
        <f t="shared" ca="1" si="46"/>
        <v>10.660833333333333</v>
      </c>
      <c r="F1089" s="60">
        <f t="shared" ca="1" si="46"/>
        <v>10.660833333333333</v>
      </c>
      <c r="G1089" s="60">
        <f t="shared" ca="1" si="46"/>
        <v>10.661891666666667</v>
      </c>
      <c r="H1089" s="60">
        <f t="shared" ca="1" si="46"/>
        <v>18.495075000000003</v>
      </c>
      <c r="I1089" s="60">
        <f t="shared" ca="1" si="46"/>
        <v>18.49615</v>
      </c>
      <c r="J1089" s="60">
        <f t="shared" ca="1" si="46"/>
        <v>10.572658333333333</v>
      </c>
      <c r="K1089" s="60">
        <f t="shared" ca="1" si="46"/>
        <v>10.661891666666667</v>
      </c>
    </row>
    <row r="1090" spans="1:11" ht="15">
      <c r="A1090" s="3">
        <v>2068</v>
      </c>
      <c r="B1090" s="60">
        <f t="shared" ca="1" si="46"/>
        <v>9.2694666666666681</v>
      </c>
      <c r="C1090" s="60">
        <f t="shared" ca="1" si="46"/>
        <v>9.2694666666666681</v>
      </c>
      <c r="D1090" s="60">
        <f t="shared" ca="1" si="46"/>
        <v>9.2961166666666681</v>
      </c>
      <c r="E1090" s="60">
        <f t="shared" ca="1" si="46"/>
        <v>10.937316666666666</v>
      </c>
      <c r="F1090" s="60">
        <f t="shared" ca="1" si="46"/>
        <v>10.937316666666666</v>
      </c>
      <c r="G1090" s="60">
        <f t="shared" ca="1" si="46"/>
        <v>10.938374999999999</v>
      </c>
      <c r="H1090" s="60">
        <f t="shared" ca="1" si="46"/>
        <v>18.901183333333336</v>
      </c>
      <c r="I1090" s="60">
        <f t="shared" ca="1" si="46"/>
        <v>18.902233333333331</v>
      </c>
      <c r="J1090" s="60">
        <f t="shared" ca="1" si="46"/>
        <v>10.827016666666665</v>
      </c>
      <c r="K1090" s="60">
        <f t="shared" ca="1" si="46"/>
        <v>10.938374999999999</v>
      </c>
    </row>
    <row r="1091" spans="1:11" ht="15">
      <c r="A1091" s="3">
        <v>2069</v>
      </c>
      <c r="B1091" s="60">
        <f t="shared" ca="1" si="46"/>
        <v>9.4831916666666682</v>
      </c>
      <c r="C1091" s="60">
        <f t="shared" ca="1" si="46"/>
        <v>9.4831916666666682</v>
      </c>
      <c r="D1091" s="60">
        <f t="shared" ca="1" si="46"/>
        <v>9.5098583333333337</v>
      </c>
      <c r="E1091" s="60">
        <f t="shared" ca="1" si="46"/>
        <v>11.213799999999999</v>
      </c>
      <c r="F1091" s="60">
        <f t="shared" ca="1" si="46"/>
        <v>11.213799999999999</v>
      </c>
      <c r="G1091" s="60">
        <f t="shared" ca="1" si="46"/>
        <v>11.214866666666667</v>
      </c>
      <c r="H1091" s="60">
        <f t="shared" ca="1" si="46"/>
        <v>19.307258333333333</v>
      </c>
      <c r="I1091" s="60">
        <f t="shared" ca="1" si="46"/>
        <v>19.308333333333334</v>
      </c>
      <c r="J1091" s="60">
        <f t="shared" ca="1" si="46"/>
        <v>11.081358333333334</v>
      </c>
      <c r="K1091" s="60">
        <f t="shared" ca="1" si="46"/>
        <v>11.214866666666667</v>
      </c>
    </row>
    <row r="1092" spans="1:11" ht="15">
      <c r="A1092" s="3">
        <v>2070</v>
      </c>
      <c r="B1092" s="60">
        <f t="shared" ca="1" si="46"/>
        <v>9.6969166666666684</v>
      </c>
      <c r="C1092" s="60">
        <f t="shared" ca="1" si="46"/>
        <v>9.6969166666666684</v>
      </c>
      <c r="D1092" s="60">
        <f t="shared" ca="1" si="46"/>
        <v>9.7235583333333331</v>
      </c>
      <c r="E1092" s="60">
        <f t="shared" ca="1" si="46"/>
        <v>11.490274999999997</v>
      </c>
      <c r="F1092" s="60">
        <f t="shared" ca="1" si="46"/>
        <v>11.490274999999997</v>
      </c>
      <c r="G1092" s="60">
        <f t="shared" ca="1" si="46"/>
        <v>11.491350000000002</v>
      </c>
      <c r="H1092" s="60">
        <f t="shared" ca="1" si="46"/>
        <v>19.713366666666666</v>
      </c>
      <c r="I1092" s="60">
        <f t="shared" ca="1" si="46"/>
        <v>19.714433333333336</v>
      </c>
      <c r="J1092" s="60">
        <f t="shared" ca="1" si="46"/>
        <v>11.335708333333335</v>
      </c>
      <c r="K1092" s="60">
        <f t="shared" ca="1" si="46"/>
        <v>11.491350000000002</v>
      </c>
    </row>
    <row r="1093" spans="1:11" ht="15">
      <c r="A1093" s="3">
        <v>2071</v>
      </c>
      <c r="B1093" s="60">
        <f t="shared" ca="1" si="46"/>
        <v>9.9106416666666686</v>
      </c>
      <c r="C1093" s="60">
        <f t="shared" ca="1" si="46"/>
        <v>9.9106416666666686</v>
      </c>
      <c r="D1093" s="60">
        <f t="shared" ca="1" si="46"/>
        <v>9.9372750000000014</v>
      </c>
      <c r="E1093" s="60">
        <f t="shared" ca="1" si="46"/>
        <v>11.766766666666667</v>
      </c>
      <c r="F1093" s="60">
        <f t="shared" ca="1" si="46"/>
        <v>11.766766666666667</v>
      </c>
      <c r="G1093" s="60">
        <f t="shared" ca="1" si="46"/>
        <v>11.767833333333334</v>
      </c>
      <c r="H1093" s="60">
        <f t="shared" ca="1" si="46"/>
        <v>20.119441666666667</v>
      </c>
      <c r="I1093" s="60">
        <f t="shared" ca="1" si="46"/>
        <v>20.120516666666667</v>
      </c>
      <c r="J1093" s="60">
        <f t="shared" ca="1" si="46"/>
        <v>11.590058333333332</v>
      </c>
      <c r="K1093" s="60">
        <f t="shared" ca="1" si="46"/>
        <v>11.767833333333334</v>
      </c>
    </row>
    <row r="1094" spans="1:11" ht="15">
      <c r="A1094" s="3">
        <v>2072</v>
      </c>
      <c r="B1094" s="60">
        <f t="shared" ref="B1094:K1103" ca="1" si="47">AVERAGE(OFFSET(B$569,($A1094-$A$1084)*12,0,12,1))</f>
        <v>10.12435</v>
      </c>
      <c r="C1094" s="60">
        <f t="shared" ca="1" si="47"/>
        <v>10.12435</v>
      </c>
      <c r="D1094" s="60">
        <f t="shared" ca="1" si="47"/>
        <v>10.150991666666668</v>
      </c>
      <c r="E1094" s="60">
        <f t="shared" ca="1" si="47"/>
        <v>12.043258333333334</v>
      </c>
      <c r="F1094" s="60">
        <f t="shared" ca="1" si="47"/>
        <v>12.043258333333334</v>
      </c>
      <c r="G1094" s="60">
        <f t="shared" ca="1" si="47"/>
        <v>12.044316666666667</v>
      </c>
      <c r="H1094" s="60">
        <f t="shared" ca="1" si="47"/>
        <v>20.525549999999999</v>
      </c>
      <c r="I1094" s="60">
        <f t="shared" ca="1" si="47"/>
        <v>20.526616666666666</v>
      </c>
      <c r="J1094" s="60">
        <f t="shared" ca="1" si="47"/>
        <v>11.844408333333334</v>
      </c>
      <c r="K1094" s="60">
        <f t="shared" ca="1" si="47"/>
        <v>12.044316666666667</v>
      </c>
    </row>
    <row r="1095" spans="1:11" ht="15">
      <c r="A1095" s="3">
        <v>2073</v>
      </c>
      <c r="B1095" s="60">
        <f t="shared" ca="1" si="47"/>
        <v>10.338050000000001</v>
      </c>
      <c r="C1095" s="60">
        <f t="shared" ca="1" si="47"/>
        <v>10.338050000000001</v>
      </c>
      <c r="D1095" s="60">
        <f t="shared" ca="1" si="47"/>
        <v>10.364708333333333</v>
      </c>
      <c r="E1095" s="60">
        <f t="shared" ca="1" si="47"/>
        <v>12.319758333333334</v>
      </c>
      <c r="F1095" s="60">
        <f t="shared" ca="1" si="47"/>
        <v>12.319758333333334</v>
      </c>
      <c r="G1095" s="60">
        <f t="shared" ca="1" si="47"/>
        <v>12.320816666666667</v>
      </c>
      <c r="H1095" s="60">
        <f t="shared" ca="1" si="47"/>
        <v>20.931641666666668</v>
      </c>
      <c r="I1095" s="60">
        <f t="shared" ca="1" si="47"/>
        <v>20.932716666666661</v>
      </c>
      <c r="J1095" s="60">
        <f t="shared" ca="1" si="47"/>
        <v>12.098766666666668</v>
      </c>
      <c r="K1095" s="60">
        <f t="shared" ca="1" si="47"/>
        <v>12.320816666666667</v>
      </c>
    </row>
    <row r="1096" spans="1:11" ht="15">
      <c r="A1096" s="3">
        <v>2074</v>
      </c>
      <c r="B1096" s="60">
        <f t="shared" ca="1" si="47"/>
        <v>10.551799999999998</v>
      </c>
      <c r="C1096" s="60">
        <f t="shared" ca="1" si="47"/>
        <v>10.551799999999998</v>
      </c>
      <c r="D1096" s="60">
        <f t="shared" ca="1" si="47"/>
        <v>10.578441666666667</v>
      </c>
      <c r="E1096" s="60">
        <f t="shared" ca="1" si="47"/>
        <v>12.596224999999999</v>
      </c>
      <c r="F1096" s="60">
        <f t="shared" ca="1" si="47"/>
        <v>12.596224999999999</v>
      </c>
      <c r="G1096" s="60">
        <f t="shared" ca="1" si="47"/>
        <v>12.597308333333336</v>
      </c>
      <c r="H1096" s="60">
        <f t="shared" ca="1" si="47"/>
        <v>21.33774166666667</v>
      </c>
      <c r="I1096" s="60">
        <f t="shared" ca="1" si="47"/>
        <v>21.338800000000003</v>
      </c>
      <c r="J1096" s="60">
        <f t="shared" ca="1" si="47"/>
        <v>12.353099999999998</v>
      </c>
      <c r="K1096" s="60">
        <f t="shared" ca="1" si="47"/>
        <v>12.597308333333336</v>
      </c>
    </row>
    <row r="1097" spans="1:11" ht="15">
      <c r="A1097" s="3">
        <v>2075</v>
      </c>
      <c r="B1097" s="60">
        <f t="shared" ca="1" si="47"/>
        <v>10.765508333333335</v>
      </c>
      <c r="C1097" s="60">
        <f t="shared" ca="1" si="47"/>
        <v>10.765508333333335</v>
      </c>
      <c r="D1097" s="60">
        <f t="shared" ca="1" si="47"/>
        <v>10.792158333333335</v>
      </c>
      <c r="E1097" s="60">
        <f t="shared" ca="1" si="47"/>
        <v>12.872708333333334</v>
      </c>
      <c r="F1097" s="60">
        <f t="shared" ca="1" si="47"/>
        <v>12.872708333333334</v>
      </c>
      <c r="G1097" s="60">
        <f t="shared" ca="1" si="47"/>
        <v>12.873783333333334</v>
      </c>
      <c r="H1097" s="60">
        <f t="shared" ca="1" si="47"/>
        <v>21.743841666666665</v>
      </c>
      <c r="I1097" s="60">
        <f t="shared" ca="1" si="47"/>
        <v>21.744900000000001</v>
      </c>
      <c r="J1097" s="60">
        <f t="shared" ca="1" si="47"/>
        <v>12.60745</v>
      </c>
      <c r="K1097" s="60">
        <f t="shared" ca="1" si="47"/>
        <v>12.873783333333334</v>
      </c>
    </row>
    <row r="1098" spans="1:11" ht="15">
      <c r="A1098" s="3">
        <v>2076</v>
      </c>
      <c r="B1098" s="60">
        <f t="shared" ca="1" si="47"/>
        <v>10.979216666666666</v>
      </c>
      <c r="C1098" s="60">
        <f t="shared" ca="1" si="47"/>
        <v>10.979216666666666</v>
      </c>
      <c r="D1098" s="60">
        <f t="shared" ca="1" si="47"/>
        <v>11.005866666666664</v>
      </c>
      <c r="E1098" s="60">
        <f t="shared" ca="1" si="47"/>
        <v>13.149199999999999</v>
      </c>
      <c r="F1098" s="60">
        <f t="shared" ca="1" si="47"/>
        <v>13.149199999999999</v>
      </c>
      <c r="G1098" s="60">
        <f t="shared" ca="1" si="47"/>
        <v>13.150275000000001</v>
      </c>
      <c r="H1098" s="60">
        <f t="shared" ca="1" si="47"/>
        <v>22.149925</v>
      </c>
      <c r="I1098" s="60">
        <f t="shared" ca="1" si="47"/>
        <v>22.150983333333333</v>
      </c>
      <c r="J1098" s="60">
        <f t="shared" ca="1" si="47"/>
        <v>12.861800000000001</v>
      </c>
      <c r="K1098" s="60">
        <f t="shared" ca="1" si="47"/>
        <v>13.150275000000001</v>
      </c>
    </row>
    <row r="1099" spans="1:11" ht="15">
      <c r="A1099" s="3">
        <v>2077</v>
      </c>
      <c r="B1099" s="60">
        <f t="shared" ca="1" si="47"/>
        <v>11.192924999999997</v>
      </c>
      <c r="C1099" s="60">
        <f t="shared" ca="1" si="47"/>
        <v>11.192924999999997</v>
      </c>
      <c r="D1099" s="60">
        <f t="shared" ca="1" si="47"/>
        <v>11.219591666666666</v>
      </c>
      <c r="E1099" s="60">
        <f t="shared" ca="1" si="47"/>
        <v>13.425691666666671</v>
      </c>
      <c r="F1099" s="60">
        <f t="shared" ca="1" si="47"/>
        <v>13.425691666666671</v>
      </c>
      <c r="G1099" s="60">
        <f t="shared" ca="1" si="47"/>
        <v>13.426741666666665</v>
      </c>
      <c r="H1099" s="60">
        <f t="shared" ca="1" si="47"/>
        <v>22.556016666666668</v>
      </c>
      <c r="I1099" s="60">
        <f t="shared" ca="1" si="47"/>
        <v>22.557091666666665</v>
      </c>
      <c r="J1099" s="60">
        <f t="shared" ca="1" si="47"/>
        <v>13.116141666666664</v>
      </c>
      <c r="K1099" s="60">
        <f t="shared" ca="1" si="47"/>
        <v>13.426741666666665</v>
      </c>
    </row>
    <row r="1100" spans="1:11" ht="15">
      <c r="A1100" s="3">
        <v>2078</v>
      </c>
      <c r="B1100" s="60">
        <f t="shared" ca="1" si="47"/>
        <v>11.406658333333333</v>
      </c>
      <c r="C1100" s="60">
        <f t="shared" ca="1" si="47"/>
        <v>11.406658333333333</v>
      </c>
      <c r="D1100" s="60">
        <f t="shared" ca="1" si="47"/>
        <v>11.433308333333331</v>
      </c>
      <c r="E1100" s="60">
        <f t="shared" ca="1" si="47"/>
        <v>13.702175000000002</v>
      </c>
      <c r="F1100" s="60">
        <f t="shared" ca="1" si="47"/>
        <v>13.702175000000002</v>
      </c>
      <c r="G1100" s="60">
        <f t="shared" ca="1" si="47"/>
        <v>13.703250000000002</v>
      </c>
      <c r="H1100" s="60">
        <f t="shared" ca="1" si="47"/>
        <v>22.962125</v>
      </c>
      <c r="I1100" s="60">
        <f t="shared" ca="1" si="47"/>
        <v>22.963191666666663</v>
      </c>
      <c r="J1100" s="60">
        <f t="shared" ca="1" si="47"/>
        <v>13.370483333333333</v>
      </c>
      <c r="K1100" s="60">
        <f t="shared" ca="1" si="47"/>
        <v>13.703250000000002</v>
      </c>
    </row>
    <row r="1101" spans="1:11" ht="15">
      <c r="A1101" s="3">
        <v>2079</v>
      </c>
      <c r="B1101" s="60">
        <f t="shared" ca="1" si="47"/>
        <v>11.620366666666664</v>
      </c>
      <c r="C1101" s="60">
        <f t="shared" ca="1" si="47"/>
        <v>11.620366666666664</v>
      </c>
      <c r="D1101" s="60">
        <f t="shared" ca="1" si="47"/>
        <v>11.647041666666665</v>
      </c>
      <c r="E1101" s="60">
        <f t="shared" ca="1" si="47"/>
        <v>13.978658333333334</v>
      </c>
      <c r="F1101" s="60">
        <f t="shared" ca="1" si="47"/>
        <v>13.978658333333334</v>
      </c>
      <c r="G1101" s="60">
        <f t="shared" ca="1" si="47"/>
        <v>13.979741666666664</v>
      </c>
      <c r="H1101" s="60">
        <f t="shared" ca="1" si="47"/>
        <v>23.368208333333328</v>
      </c>
      <c r="I1101" s="60">
        <f t="shared" ca="1" si="47"/>
        <v>23.369275000000002</v>
      </c>
      <c r="J1101" s="60">
        <f t="shared" ca="1" si="47"/>
        <v>13.624833333333333</v>
      </c>
      <c r="K1101" s="60">
        <f t="shared" ca="1" si="47"/>
        <v>13.979741666666664</v>
      </c>
    </row>
    <row r="1102" spans="1:11" ht="15">
      <c r="A1102" s="3">
        <v>2080</v>
      </c>
      <c r="B1102" s="60">
        <f t="shared" ca="1" si="47"/>
        <v>11.834099999999999</v>
      </c>
      <c r="C1102" s="60">
        <f t="shared" ca="1" si="47"/>
        <v>11.834099999999999</v>
      </c>
      <c r="D1102" s="60">
        <f t="shared" ca="1" si="47"/>
        <v>11.860758333333331</v>
      </c>
      <c r="E1102" s="60">
        <f t="shared" ca="1" si="47"/>
        <v>14.255141666666665</v>
      </c>
      <c r="F1102" s="60">
        <f t="shared" ca="1" si="47"/>
        <v>14.255141666666665</v>
      </c>
      <c r="G1102" s="60">
        <f t="shared" ca="1" si="47"/>
        <v>14.256225000000002</v>
      </c>
      <c r="H1102" s="60">
        <f t="shared" ca="1" si="47"/>
        <v>23.774308333333327</v>
      </c>
      <c r="I1102" s="60">
        <f t="shared" ca="1" si="47"/>
        <v>23.775383333333334</v>
      </c>
      <c r="J1102" s="60">
        <f t="shared" ca="1" si="47"/>
        <v>13.879166666666665</v>
      </c>
      <c r="K1102" s="60">
        <f t="shared" ca="1" si="47"/>
        <v>14.256225000000002</v>
      </c>
    </row>
    <row r="1103" spans="1:11" ht="15">
      <c r="A1103" s="3">
        <v>2081</v>
      </c>
      <c r="B1103" s="60">
        <f t="shared" ca="1" si="47"/>
        <v>12.047824999999998</v>
      </c>
      <c r="C1103" s="60">
        <f t="shared" ca="1" si="47"/>
        <v>12.047824999999998</v>
      </c>
      <c r="D1103" s="60">
        <f t="shared" ca="1" si="47"/>
        <v>12.074458333333332</v>
      </c>
      <c r="E1103" s="60">
        <f t="shared" ca="1" si="47"/>
        <v>14.531633333333334</v>
      </c>
      <c r="F1103" s="60">
        <f t="shared" ca="1" si="47"/>
        <v>14.531633333333334</v>
      </c>
      <c r="G1103" s="60">
        <f t="shared" ca="1" si="47"/>
        <v>14.532708333333332</v>
      </c>
      <c r="H1103" s="60">
        <f t="shared" ca="1" si="47"/>
        <v>24.180391666666669</v>
      </c>
      <c r="I1103" s="60">
        <f t="shared" ca="1" si="47"/>
        <v>24.181475000000002</v>
      </c>
      <c r="J1103" s="60">
        <f t="shared" ca="1" si="47"/>
        <v>14.133525000000001</v>
      </c>
      <c r="K1103" s="60">
        <f t="shared" ca="1" si="47"/>
        <v>14.532708333333332</v>
      </c>
    </row>
    <row r="1104" spans="1:11" ht="15">
      <c r="A1104" s="3">
        <v>2082</v>
      </c>
      <c r="B1104" s="60">
        <f t="shared" ref="B1104:K1113" ca="1" si="48">AVERAGE(OFFSET(B$569,($A1104-$A$1084)*12,0,12,1))</f>
        <v>12.261533333333333</v>
      </c>
      <c r="C1104" s="60">
        <f t="shared" ca="1" si="48"/>
        <v>12.261533333333333</v>
      </c>
      <c r="D1104" s="60">
        <f t="shared" ca="1" si="48"/>
        <v>12.288174999999997</v>
      </c>
      <c r="E1104" s="60">
        <f t="shared" ca="1" si="48"/>
        <v>14.808116666666669</v>
      </c>
      <c r="F1104" s="60">
        <f t="shared" ca="1" si="48"/>
        <v>14.808116666666669</v>
      </c>
      <c r="G1104" s="60">
        <f t="shared" ca="1" si="48"/>
        <v>14.809200000000002</v>
      </c>
      <c r="H1104" s="60">
        <f t="shared" ca="1" si="48"/>
        <v>24.586491666666671</v>
      </c>
      <c r="I1104" s="60">
        <f t="shared" ca="1" si="48"/>
        <v>24.587566666666664</v>
      </c>
      <c r="J1104" s="60">
        <f t="shared" ca="1" si="48"/>
        <v>14.387866666666666</v>
      </c>
      <c r="K1104" s="60">
        <f t="shared" ca="1" si="48"/>
        <v>14.809200000000002</v>
      </c>
    </row>
    <row r="1105" spans="1:11" ht="15">
      <c r="A1105" s="3">
        <v>2083</v>
      </c>
      <c r="B1105" s="60">
        <f t="shared" ca="1" si="48"/>
        <v>12.475233333333334</v>
      </c>
      <c r="C1105" s="60">
        <f t="shared" ca="1" si="48"/>
        <v>12.475233333333334</v>
      </c>
      <c r="D1105" s="60">
        <f t="shared" ca="1" si="48"/>
        <v>12.501908333333333</v>
      </c>
      <c r="E1105" s="60">
        <f t="shared" ca="1" si="48"/>
        <v>15.08460833333333</v>
      </c>
      <c r="F1105" s="60">
        <f t="shared" ca="1" si="48"/>
        <v>15.08460833333333</v>
      </c>
      <c r="G1105" s="60">
        <f t="shared" ca="1" si="48"/>
        <v>15.085691666666667</v>
      </c>
      <c r="H1105" s="60">
        <f t="shared" ca="1" si="48"/>
        <v>24.992608333333333</v>
      </c>
      <c r="I1105" s="60">
        <f t="shared" ca="1" si="48"/>
        <v>24.993658333333332</v>
      </c>
      <c r="J1105" s="60">
        <f t="shared" ca="1" si="48"/>
        <v>14.642216666666664</v>
      </c>
      <c r="K1105" s="60">
        <f t="shared" ca="1" si="48"/>
        <v>15.085691666666667</v>
      </c>
    </row>
    <row r="1106" spans="1:11" ht="15">
      <c r="A1106" s="3">
        <v>2084</v>
      </c>
      <c r="B1106" s="60">
        <f t="shared" ca="1" si="48"/>
        <v>12.688974999999999</v>
      </c>
      <c r="C1106" s="60">
        <f t="shared" ca="1" si="48"/>
        <v>12.688974999999999</v>
      </c>
      <c r="D1106" s="60">
        <f t="shared" ca="1" si="48"/>
        <v>12.715624999999998</v>
      </c>
      <c r="E1106" s="60">
        <f t="shared" ca="1" si="48"/>
        <v>15.361108333333334</v>
      </c>
      <c r="F1106" s="60">
        <f t="shared" ca="1" si="48"/>
        <v>15.361108333333334</v>
      </c>
      <c r="G1106" s="60">
        <f t="shared" ca="1" si="48"/>
        <v>15.362183333333336</v>
      </c>
      <c r="H1106" s="60">
        <f t="shared" ca="1" si="48"/>
        <v>25.398683333333334</v>
      </c>
      <c r="I1106" s="60">
        <f t="shared" ca="1" si="48"/>
        <v>25.399758333333335</v>
      </c>
      <c r="J1106" s="60">
        <f t="shared" ca="1" si="48"/>
        <v>14.896574999999999</v>
      </c>
      <c r="K1106" s="60">
        <f t="shared" ca="1" si="48"/>
        <v>15.362183333333336</v>
      </c>
    </row>
    <row r="1107" spans="1:11" ht="15">
      <c r="A1107" s="3">
        <v>2085</v>
      </c>
      <c r="B1107" s="60">
        <f t="shared" ca="1" si="48"/>
        <v>12.902699999999998</v>
      </c>
      <c r="C1107" s="60">
        <f t="shared" ca="1" si="48"/>
        <v>12.902699999999998</v>
      </c>
      <c r="D1107" s="60">
        <f t="shared" ca="1" si="48"/>
        <v>12.929341666666664</v>
      </c>
      <c r="E1107" s="60">
        <f t="shared" ca="1" si="48"/>
        <v>15.63758333333333</v>
      </c>
      <c r="F1107" s="60">
        <f t="shared" ca="1" si="48"/>
        <v>15.63758333333333</v>
      </c>
      <c r="G1107" s="60">
        <f t="shared" ca="1" si="48"/>
        <v>15.63865</v>
      </c>
      <c r="H1107" s="60">
        <f t="shared" ca="1" si="48"/>
        <v>25.804783333333333</v>
      </c>
      <c r="I1107" s="60">
        <f t="shared" ca="1" si="48"/>
        <v>25.805850000000003</v>
      </c>
      <c r="J1107" s="60">
        <f t="shared" ca="1" si="48"/>
        <v>15.150924999999999</v>
      </c>
      <c r="K1107" s="60">
        <f t="shared" ca="1" si="48"/>
        <v>15.63865</v>
      </c>
    </row>
    <row r="1108" spans="1:11" ht="15">
      <c r="A1108" s="3">
        <v>2086</v>
      </c>
      <c r="B1108" s="60">
        <f t="shared" ca="1" si="48"/>
        <v>13.116408333333331</v>
      </c>
      <c r="C1108" s="60">
        <f t="shared" ca="1" si="48"/>
        <v>13.116408333333331</v>
      </c>
      <c r="D1108" s="60">
        <f t="shared" ca="1" si="48"/>
        <v>13.143058333333331</v>
      </c>
      <c r="E1108" s="60">
        <f t="shared" ca="1" si="48"/>
        <v>15.914075000000002</v>
      </c>
      <c r="F1108" s="60">
        <f t="shared" ca="1" si="48"/>
        <v>15.914075000000002</v>
      </c>
      <c r="G1108" s="60">
        <f t="shared" ca="1" si="48"/>
        <v>15.915141666666665</v>
      </c>
      <c r="H1108" s="60">
        <f t="shared" ca="1" si="48"/>
        <v>26.210866666666671</v>
      </c>
      <c r="I1108" s="60">
        <f t="shared" ca="1" si="48"/>
        <v>26.211958333333332</v>
      </c>
      <c r="J1108" s="60">
        <f t="shared" ca="1" si="48"/>
        <v>15.405266666666668</v>
      </c>
      <c r="K1108" s="60">
        <f t="shared" ca="1" si="48"/>
        <v>15.915141666666665</v>
      </c>
    </row>
    <row r="1109" spans="1:11" ht="15">
      <c r="A1109" s="3">
        <v>2087</v>
      </c>
      <c r="B1109" s="60">
        <f t="shared" ca="1" si="48"/>
        <v>13.330133333333331</v>
      </c>
      <c r="C1109" s="60">
        <f t="shared" ca="1" si="48"/>
        <v>13.330133333333331</v>
      </c>
      <c r="D1109" s="60">
        <f t="shared" ca="1" si="48"/>
        <v>13.356774999999999</v>
      </c>
      <c r="E1109" s="60">
        <f t="shared" ca="1" si="48"/>
        <v>16.190558333333332</v>
      </c>
      <c r="F1109" s="60">
        <f t="shared" ca="1" si="48"/>
        <v>16.190558333333332</v>
      </c>
      <c r="G1109" s="60">
        <f t="shared" ca="1" si="48"/>
        <v>16.191633333333332</v>
      </c>
      <c r="H1109" s="60">
        <f t="shared" ca="1" si="48"/>
        <v>26.616975</v>
      </c>
      <c r="I1109" s="60">
        <f t="shared" ca="1" si="48"/>
        <v>26.618024999999999</v>
      </c>
      <c r="J1109" s="60">
        <f t="shared" ca="1" si="48"/>
        <v>15.659599999999998</v>
      </c>
      <c r="K1109" s="60">
        <f t="shared" ca="1" si="48"/>
        <v>16.191633333333332</v>
      </c>
    </row>
    <row r="1110" spans="1:11" ht="15">
      <c r="A1110" s="3">
        <v>2088</v>
      </c>
      <c r="B1110" s="60">
        <f t="shared" ca="1" si="48"/>
        <v>13.543849999999997</v>
      </c>
      <c r="C1110" s="60">
        <f t="shared" ca="1" si="48"/>
        <v>13.543849999999997</v>
      </c>
      <c r="D1110" s="60">
        <f t="shared" ca="1" si="48"/>
        <v>13.570491666666664</v>
      </c>
      <c r="E1110" s="60">
        <f t="shared" ca="1" si="48"/>
        <v>16.467066666666664</v>
      </c>
      <c r="F1110" s="60">
        <f t="shared" ca="1" si="48"/>
        <v>16.467066666666664</v>
      </c>
      <c r="G1110" s="60">
        <f t="shared" ca="1" si="48"/>
        <v>16.468124999999997</v>
      </c>
      <c r="H1110" s="60">
        <f t="shared" ca="1" si="48"/>
        <v>27.023058333333335</v>
      </c>
      <c r="I1110" s="60">
        <f t="shared" ca="1" si="48"/>
        <v>27.024133333333328</v>
      </c>
      <c r="J1110" s="60">
        <f t="shared" ca="1" si="48"/>
        <v>15.913966666666667</v>
      </c>
      <c r="K1110" s="60">
        <f t="shared" ca="1" si="48"/>
        <v>16.468124999999997</v>
      </c>
    </row>
    <row r="1111" spans="1:11" ht="15">
      <c r="A1111" s="3">
        <v>2089</v>
      </c>
      <c r="B1111" s="60">
        <f t="shared" ca="1" si="48"/>
        <v>13.757550000000004</v>
      </c>
      <c r="C1111" s="60">
        <f t="shared" ca="1" si="48"/>
        <v>13.757550000000004</v>
      </c>
      <c r="D1111" s="60">
        <f t="shared" ca="1" si="48"/>
        <v>13.784216666666666</v>
      </c>
      <c r="E1111" s="60">
        <f t="shared" ca="1" si="48"/>
        <v>16.743541666666665</v>
      </c>
      <c r="F1111" s="60">
        <f t="shared" ca="1" si="48"/>
        <v>16.743541666666665</v>
      </c>
      <c r="G1111" s="60">
        <f t="shared" ca="1" si="48"/>
        <v>16.744608333333336</v>
      </c>
      <c r="H1111" s="60">
        <f t="shared" ca="1" si="48"/>
        <v>27.429158333333334</v>
      </c>
      <c r="I1111" s="60">
        <f t="shared" ca="1" si="48"/>
        <v>27.430224999999997</v>
      </c>
      <c r="J1111" s="60">
        <f t="shared" ca="1" si="48"/>
        <v>16.168316666666669</v>
      </c>
      <c r="K1111" s="60">
        <f t="shared" ca="1" si="48"/>
        <v>16.744608333333336</v>
      </c>
    </row>
    <row r="1112" spans="1:11" ht="15">
      <c r="A1112" s="3">
        <v>2090</v>
      </c>
      <c r="B1112" s="60">
        <f t="shared" ca="1" si="48"/>
        <v>13.971299999999999</v>
      </c>
      <c r="C1112" s="60">
        <f t="shared" ca="1" si="48"/>
        <v>13.971299999999999</v>
      </c>
      <c r="D1112" s="60">
        <f t="shared" ca="1" si="48"/>
        <v>13.997950000000003</v>
      </c>
      <c r="E1112" s="60">
        <f t="shared" ca="1" si="48"/>
        <v>17.020025</v>
      </c>
      <c r="F1112" s="60">
        <f t="shared" ca="1" si="48"/>
        <v>17.020025</v>
      </c>
      <c r="G1112" s="60">
        <f t="shared" ca="1" si="48"/>
        <v>17.021091666666667</v>
      </c>
      <c r="H1112" s="60">
        <f t="shared" ca="1" si="48"/>
        <v>27.835250000000002</v>
      </c>
      <c r="I1112" s="60">
        <f t="shared" ca="1" si="48"/>
        <v>27.836316666666672</v>
      </c>
      <c r="J1112" s="60">
        <f t="shared" ca="1" si="48"/>
        <v>16.422641666666667</v>
      </c>
      <c r="K1112" s="60">
        <f t="shared" ca="1" si="48"/>
        <v>17.021091666666667</v>
      </c>
    </row>
    <row r="1113" spans="1:11" ht="15">
      <c r="A1113" s="3">
        <v>2091</v>
      </c>
      <c r="B1113" s="60">
        <f t="shared" ca="1" si="48"/>
        <v>14.185016666666664</v>
      </c>
      <c r="C1113" s="60">
        <f t="shared" ca="1" si="48"/>
        <v>14.185016666666664</v>
      </c>
      <c r="D1113" s="60">
        <f t="shared" ca="1" si="48"/>
        <v>14.211658333333338</v>
      </c>
      <c r="E1113" s="60">
        <f t="shared" ca="1" si="48"/>
        <v>17.296516666666665</v>
      </c>
      <c r="F1113" s="60">
        <f t="shared" ca="1" si="48"/>
        <v>17.296516666666665</v>
      </c>
      <c r="G1113" s="60">
        <f t="shared" ca="1" si="48"/>
        <v>17.297574999999998</v>
      </c>
      <c r="H1113" s="60">
        <f t="shared" ca="1" si="48"/>
        <v>28.241341666666667</v>
      </c>
      <c r="I1113" s="60">
        <f t="shared" ca="1" si="48"/>
        <v>28.2424</v>
      </c>
      <c r="J1113" s="60">
        <f t="shared" ca="1" si="48"/>
        <v>16.677</v>
      </c>
      <c r="K1113" s="60">
        <f t="shared" ca="1" si="48"/>
        <v>17.297574999999998</v>
      </c>
    </row>
    <row r="1114" spans="1:11" ht="15">
      <c r="A1114" s="3">
        <v>2092</v>
      </c>
      <c r="B1114" s="60">
        <f t="shared" ref="B1114:K1122" ca="1" si="49">AVERAGE(OFFSET(B$569,($A1114-$A$1084)*12,0,12,1))</f>
        <v>14.398725000000001</v>
      </c>
      <c r="C1114" s="60">
        <f t="shared" ca="1" si="49"/>
        <v>14.398725000000001</v>
      </c>
      <c r="D1114" s="60">
        <f t="shared" ca="1" si="49"/>
        <v>14.425375000000001</v>
      </c>
      <c r="E1114" s="60">
        <f t="shared" ca="1" si="49"/>
        <v>17.572999999999997</v>
      </c>
      <c r="F1114" s="60">
        <f t="shared" ca="1" si="49"/>
        <v>17.572999999999997</v>
      </c>
      <c r="G1114" s="60">
        <f t="shared" ca="1" si="49"/>
        <v>17.574066666666667</v>
      </c>
      <c r="H1114" s="60">
        <f t="shared" ca="1" si="49"/>
        <v>28.647433333333339</v>
      </c>
      <c r="I1114" s="60">
        <f t="shared" ca="1" si="49"/>
        <v>28.648499999999999</v>
      </c>
      <c r="J1114" s="60">
        <f t="shared" ca="1" si="49"/>
        <v>16.931341666666665</v>
      </c>
      <c r="K1114" s="60">
        <f t="shared" ca="1" si="49"/>
        <v>17.574066666666667</v>
      </c>
    </row>
    <row r="1115" spans="1:11" ht="15">
      <c r="A1115" s="3">
        <v>2093</v>
      </c>
      <c r="B1115" s="60">
        <f t="shared" ca="1" si="49"/>
        <v>14.612425000000002</v>
      </c>
      <c r="C1115" s="60">
        <f t="shared" ca="1" si="49"/>
        <v>14.612425000000002</v>
      </c>
      <c r="D1115" s="60">
        <f t="shared" ca="1" si="49"/>
        <v>14.639091666666667</v>
      </c>
      <c r="E1115" s="60">
        <f t="shared" ca="1" si="49"/>
        <v>17.849491666666665</v>
      </c>
      <c r="F1115" s="60">
        <f t="shared" ca="1" si="49"/>
        <v>17.849491666666665</v>
      </c>
      <c r="G1115" s="60">
        <f t="shared" ca="1" si="49"/>
        <v>17.850558333333336</v>
      </c>
      <c r="H1115" s="60">
        <f t="shared" ca="1" si="49"/>
        <v>29.053524999999997</v>
      </c>
      <c r="I1115" s="60">
        <f t="shared" ca="1" si="49"/>
        <v>29.054591666666671</v>
      </c>
      <c r="J1115" s="60">
        <f t="shared" ca="1" si="49"/>
        <v>17.185691666666667</v>
      </c>
      <c r="K1115" s="60">
        <f t="shared" ca="1" si="49"/>
        <v>17.850558333333336</v>
      </c>
    </row>
    <row r="1116" spans="1:11" ht="15">
      <c r="A1116" s="3">
        <v>2094</v>
      </c>
      <c r="B1116" s="60">
        <f t="shared" ca="1" si="49"/>
        <v>14.826158333333334</v>
      </c>
      <c r="C1116" s="60">
        <f t="shared" ca="1" si="49"/>
        <v>14.826158333333334</v>
      </c>
      <c r="D1116" s="60">
        <f t="shared" ca="1" si="49"/>
        <v>14.852808333333336</v>
      </c>
      <c r="E1116" s="60">
        <f t="shared" ca="1" si="49"/>
        <v>18.125991666666664</v>
      </c>
      <c r="F1116" s="60">
        <f t="shared" ca="1" si="49"/>
        <v>18.125991666666664</v>
      </c>
      <c r="G1116" s="60">
        <f t="shared" ca="1" si="49"/>
        <v>18.127041666666667</v>
      </c>
      <c r="H1116" s="60">
        <f t="shared" ca="1" si="49"/>
        <v>29.459633333333333</v>
      </c>
      <c r="I1116" s="60">
        <f t="shared" ca="1" si="49"/>
        <v>29.460699999999999</v>
      </c>
      <c r="J1116" s="60">
        <f t="shared" ca="1" si="49"/>
        <v>17.440033333333336</v>
      </c>
      <c r="K1116" s="60">
        <f t="shared" ca="1" si="49"/>
        <v>18.127041666666667</v>
      </c>
    </row>
    <row r="1117" spans="1:11" ht="15">
      <c r="A1117" s="3">
        <v>2095</v>
      </c>
      <c r="B1117" s="60">
        <f t="shared" ca="1" si="49"/>
        <v>15.039883333333336</v>
      </c>
      <c r="C1117" s="60">
        <f t="shared" ca="1" si="49"/>
        <v>15.039883333333336</v>
      </c>
      <c r="D1117" s="60">
        <f t="shared" ca="1" si="49"/>
        <v>15.066533333333334</v>
      </c>
      <c r="E1117" s="60">
        <f t="shared" ca="1" si="49"/>
        <v>18.402474999999999</v>
      </c>
      <c r="F1117" s="60">
        <f t="shared" ca="1" si="49"/>
        <v>18.402474999999999</v>
      </c>
      <c r="G1117" s="60">
        <f t="shared" ca="1" si="49"/>
        <v>18.403541666666666</v>
      </c>
      <c r="H1117" s="60">
        <f t="shared" ca="1" si="49"/>
        <v>29.865733333333335</v>
      </c>
      <c r="I1117" s="60">
        <f t="shared" ca="1" si="49"/>
        <v>29.866791666666661</v>
      </c>
      <c r="J1117" s="60">
        <f t="shared" ca="1" si="49"/>
        <v>17.694366666666667</v>
      </c>
      <c r="K1117" s="60">
        <f t="shared" ca="1" si="49"/>
        <v>18.403541666666666</v>
      </c>
    </row>
    <row r="1118" spans="1:11" ht="15">
      <c r="A1118" s="3">
        <v>2096</v>
      </c>
      <c r="B1118" s="60">
        <f t="shared" ca="1" si="49"/>
        <v>15.253591666666667</v>
      </c>
      <c r="C1118" s="60">
        <f t="shared" ca="1" si="49"/>
        <v>15.253591666666667</v>
      </c>
      <c r="D1118" s="60">
        <f t="shared" ca="1" si="49"/>
        <v>15.280266666666668</v>
      </c>
      <c r="E1118" s="60">
        <f t="shared" ca="1" si="49"/>
        <v>18.67894166666667</v>
      </c>
      <c r="F1118" s="60">
        <f t="shared" ca="1" si="49"/>
        <v>18.67894166666667</v>
      </c>
      <c r="G1118" s="60">
        <f t="shared" ca="1" si="49"/>
        <v>18.680016666666667</v>
      </c>
      <c r="H1118" s="60">
        <f t="shared" ca="1" si="49"/>
        <v>30.271825000000003</v>
      </c>
      <c r="I1118" s="60">
        <f t="shared" ca="1" si="49"/>
        <v>30.272883333333336</v>
      </c>
      <c r="J1118" s="60">
        <f t="shared" ca="1" si="49"/>
        <v>17.948741666666663</v>
      </c>
      <c r="K1118" s="60">
        <f t="shared" ca="1" si="49"/>
        <v>18.680016666666667</v>
      </c>
    </row>
    <row r="1119" spans="1:11" ht="15">
      <c r="A1119" s="3">
        <v>2097</v>
      </c>
      <c r="B1119" s="60">
        <f t="shared" ca="1" si="49"/>
        <v>15.467316666666669</v>
      </c>
      <c r="C1119" s="60">
        <f t="shared" ca="1" si="49"/>
        <v>15.467316666666669</v>
      </c>
      <c r="D1119" s="60">
        <f t="shared" ca="1" si="49"/>
        <v>15.493966666666667</v>
      </c>
      <c r="E1119" s="60">
        <f t="shared" ca="1" si="49"/>
        <v>18.955441666666669</v>
      </c>
      <c r="F1119" s="60">
        <f t="shared" ca="1" si="49"/>
        <v>18.955441666666669</v>
      </c>
      <c r="G1119" s="60">
        <f t="shared" ca="1" si="49"/>
        <v>18.956500000000002</v>
      </c>
      <c r="H1119" s="60">
        <f t="shared" ca="1" si="49"/>
        <v>30.677925000000002</v>
      </c>
      <c r="I1119" s="60">
        <f t="shared" ca="1" si="49"/>
        <v>30.678991666666665</v>
      </c>
      <c r="J1119" s="60">
        <f t="shared" ca="1" si="49"/>
        <v>18.203083333333332</v>
      </c>
      <c r="K1119" s="60">
        <f t="shared" ca="1" si="49"/>
        <v>18.956500000000002</v>
      </c>
    </row>
    <row r="1120" spans="1:11" ht="15">
      <c r="A1120" s="3">
        <v>2098</v>
      </c>
      <c r="B1120" s="60">
        <f t="shared" ca="1" si="49"/>
        <v>15.681041666666665</v>
      </c>
      <c r="C1120" s="60">
        <f t="shared" ca="1" si="49"/>
        <v>15.681041666666665</v>
      </c>
      <c r="D1120" s="60">
        <f t="shared" ca="1" si="49"/>
        <v>15.707683333333335</v>
      </c>
      <c r="E1120" s="60">
        <f t="shared" ca="1" si="49"/>
        <v>19.231933333333334</v>
      </c>
      <c r="F1120" s="60">
        <f t="shared" ca="1" si="49"/>
        <v>19.231933333333334</v>
      </c>
      <c r="G1120" s="60">
        <f t="shared" ca="1" si="49"/>
        <v>19.232975</v>
      </c>
      <c r="H1120" s="60">
        <f t="shared" ca="1" si="49"/>
        <v>31.084008333333333</v>
      </c>
      <c r="I1120" s="60">
        <f t="shared" ca="1" si="49"/>
        <v>31.085075</v>
      </c>
      <c r="J1120" s="60">
        <f t="shared" ca="1" si="49"/>
        <v>18.457425000000004</v>
      </c>
      <c r="K1120" s="60">
        <f t="shared" ca="1" si="49"/>
        <v>19.232975</v>
      </c>
    </row>
    <row r="1121" spans="1:11" ht="15">
      <c r="A1121" s="3">
        <v>2099</v>
      </c>
      <c r="B1121" s="60">
        <f t="shared" ca="1" si="49"/>
        <v>15.894741666666667</v>
      </c>
      <c r="C1121" s="60">
        <f t="shared" ca="1" si="49"/>
        <v>15.894741666666667</v>
      </c>
      <c r="D1121" s="60">
        <f t="shared" ca="1" si="49"/>
        <v>15.9214</v>
      </c>
      <c r="E1121" s="60">
        <f t="shared" ca="1" si="49"/>
        <v>19.508424999999999</v>
      </c>
      <c r="F1121" s="60">
        <f t="shared" ca="1" si="49"/>
        <v>19.508424999999999</v>
      </c>
      <c r="G1121" s="60">
        <f t="shared" ca="1" si="49"/>
        <v>19.509483333333332</v>
      </c>
      <c r="H1121" s="60">
        <f t="shared" ca="1" si="49"/>
        <v>31.490108333333335</v>
      </c>
      <c r="I1121" s="60">
        <f t="shared" ca="1" si="49"/>
        <v>31.491191666666662</v>
      </c>
      <c r="J1121" s="60">
        <f t="shared" ca="1" si="49"/>
        <v>18.711774999999996</v>
      </c>
      <c r="K1121" s="60">
        <f t="shared" ca="1" si="49"/>
        <v>19.509483333333332</v>
      </c>
    </row>
    <row r="1122" spans="1:11" ht="15">
      <c r="A1122" s="3">
        <v>2100</v>
      </c>
      <c r="B1122" s="60">
        <f t="shared" ca="1" si="49"/>
        <v>16.108483333333336</v>
      </c>
      <c r="C1122" s="60">
        <f t="shared" ca="1" si="49"/>
        <v>16.108483333333336</v>
      </c>
      <c r="D1122" s="60">
        <f t="shared" ca="1" si="49"/>
        <v>16.135133333333332</v>
      </c>
      <c r="E1122" s="60">
        <f t="shared" ca="1" si="49"/>
        <v>19.7849</v>
      </c>
      <c r="F1122" s="60">
        <f t="shared" ca="1" si="49"/>
        <v>19.7849</v>
      </c>
      <c r="G1122" s="60">
        <f t="shared" ca="1" si="49"/>
        <v>19.785974999999997</v>
      </c>
      <c r="H1122" s="60">
        <f t="shared" ca="1" si="49"/>
        <v>31.896225000000001</v>
      </c>
      <c r="I1122" s="60">
        <f t="shared" ca="1" si="49"/>
        <v>31.89725833333333</v>
      </c>
      <c r="J1122" s="60">
        <f t="shared" ca="1" si="49"/>
        <v>18.966125000000002</v>
      </c>
      <c r="K1122" s="60">
        <f t="shared" ca="1" si="49"/>
        <v>19.785974999999997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A7" sqref="A7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1" spans="1:3">
      <c r="A1" s="81" t="s">
        <v>64</v>
      </c>
    </row>
    <row r="2" spans="1:3">
      <c r="A2" s="81" t="s">
        <v>65</v>
      </c>
    </row>
    <row r="3" spans="1:3">
      <c r="A3" s="81" t="s">
        <v>66</v>
      </c>
    </row>
    <row r="4" spans="1:3">
      <c r="A4" s="81" t="s">
        <v>67</v>
      </c>
    </row>
    <row r="5" spans="1:3">
      <c r="A5" s="81" t="s">
        <v>69</v>
      </c>
    </row>
    <row r="6" spans="1:3">
      <c r="A6" s="81" t="s">
        <v>72</v>
      </c>
    </row>
    <row r="8" spans="1:3">
      <c r="B8" s="78" t="s">
        <v>63</v>
      </c>
      <c r="C8" s="78" t="s">
        <v>54</v>
      </c>
    </row>
    <row r="9" spans="1:3">
      <c r="B9" s="80" t="s">
        <v>61</v>
      </c>
      <c r="C9" s="90">
        <v>2</v>
      </c>
    </row>
    <row r="10" spans="1:3">
      <c r="B10" s="80" t="s">
        <v>60</v>
      </c>
      <c r="C10" s="92"/>
    </row>
    <row r="11" spans="1:3">
      <c r="B11" s="79" t="s">
        <v>59</v>
      </c>
      <c r="C11" s="91"/>
    </row>
    <row r="14" spans="1:3">
      <c r="B14" s="78" t="s">
        <v>55</v>
      </c>
      <c r="C14" s="78" t="s">
        <v>54</v>
      </c>
    </row>
    <row r="15" spans="1:3">
      <c r="B15" s="80" t="s">
        <v>61</v>
      </c>
      <c r="C15" s="90">
        <v>2</v>
      </c>
    </row>
    <row r="16" spans="1:3">
      <c r="B16" s="80" t="s">
        <v>60</v>
      </c>
      <c r="C16" s="92"/>
    </row>
    <row r="17" spans="2:3">
      <c r="B17" s="79" t="s">
        <v>59</v>
      </c>
      <c r="C17" s="91"/>
    </row>
    <row r="21" spans="2:3">
      <c r="B21" s="78" t="s">
        <v>62</v>
      </c>
      <c r="C21" s="78" t="s">
        <v>54</v>
      </c>
    </row>
    <row r="22" spans="2:3">
      <c r="B22" s="80" t="s">
        <v>61</v>
      </c>
      <c r="C22" s="90">
        <v>2</v>
      </c>
    </row>
    <row r="23" spans="2:3">
      <c r="B23" s="80" t="s">
        <v>60</v>
      </c>
      <c r="C23" s="92"/>
    </row>
    <row r="24" spans="2:3">
      <c r="B24" s="79" t="s">
        <v>59</v>
      </c>
      <c r="C24" s="91"/>
    </row>
    <row r="27" spans="2:3">
      <c r="B27" s="78" t="s">
        <v>58</v>
      </c>
      <c r="C27" s="78" t="s">
        <v>54</v>
      </c>
    </row>
    <row r="28" spans="2:3">
      <c r="B28" s="77" t="s">
        <v>57</v>
      </c>
      <c r="C28" s="90">
        <v>1</v>
      </c>
    </row>
    <row r="29" spans="2:3">
      <c r="B29" s="76" t="s">
        <v>56</v>
      </c>
      <c r="C29" s="91"/>
    </row>
    <row r="31" spans="2:3">
      <c r="B31" s="78" t="s">
        <v>55</v>
      </c>
      <c r="C31" s="78" t="s">
        <v>54</v>
      </c>
    </row>
    <row r="32" spans="2:3">
      <c r="B32" s="77" t="s">
        <v>53</v>
      </c>
      <c r="C32" s="90">
        <v>1</v>
      </c>
    </row>
    <row r="33" spans="2:5">
      <c r="B33" s="76" t="s">
        <v>52</v>
      </c>
      <c r="C33" s="91"/>
    </row>
    <row r="37" spans="2:5">
      <c r="C37" s="75"/>
      <c r="E37" s="74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2016-07-29T16:24:29Z</dcterms:created>
  <dcterms:modified xsi:type="dcterms:W3CDTF">2016-07-29T16:24:33Z</dcterms:modified>
</cp:coreProperties>
</file>